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ämäTyökirja"/>
  <mc:AlternateContent xmlns:mc="http://schemas.openxmlformats.org/markup-compatibility/2006">
    <mc:Choice Requires="x15">
      <x15ac:absPath xmlns:x15ac="http://schemas.microsoft.com/office/spreadsheetml/2010/11/ac" url="C:\Users\ifaler\Desktop\"/>
    </mc:Choice>
  </mc:AlternateContent>
  <bookViews>
    <workbookView xWindow="0" yWindow="0" windowWidth="7635" windowHeight="3000" activeTab="1"/>
  </bookViews>
  <sheets>
    <sheet name="EPMMuotoilutaulukko" sheetId="2" r:id="rId1"/>
    <sheet name="Tuloslaskelma" sheetId="1" r:id="rId2"/>
  </sheets>
  <definedNames>
    <definedName name="__FPMExcelClient_CellBasedFunctionStatus" localSheetId="1" hidden="1">"1_1_2_1_2_2"</definedName>
    <definedName name="__FPMExcelClient_RefreshTime" localSheetId="1">636704604503437000</definedName>
    <definedName name="AddDimension" localSheetId="0" hidden="1">EPMMuotoilutaulukko!$D$180</definedName>
    <definedName name="AddLevelFirst" localSheetId="0" hidden="1">EPMMuotoilutaulukko!$D$59</definedName>
    <definedName name="AddLevelSecond" localSheetId="0" hidden="1">EPMMuotoilutaulukko!$D$26</definedName>
    <definedName name="AddMemberFirst" localSheetId="0" hidden="1">EPMMuotoilutaulukko!$D$148</definedName>
    <definedName name="AddMemberFirst_1" localSheetId="0" hidden="1">EPMMuotoilutaulukko!$D$113</definedName>
    <definedName name="AddMemberFirst_10" localSheetId="0" hidden="1">EPMMuotoilutaulukko!$D$140</definedName>
    <definedName name="AddMemberFirst_11" localSheetId="0" hidden="1">EPMMuotoilutaulukko!$D$143</definedName>
    <definedName name="AddMemberFirst_12" localSheetId="0" hidden="1">EPMMuotoilutaulukko!$D$146</definedName>
    <definedName name="AddMemberFirst_2" localSheetId="0" hidden="1">EPMMuotoilutaulukko!$D$116</definedName>
    <definedName name="AddMemberFirst_3" localSheetId="0" hidden="1">EPMMuotoilutaulukko!$D$119</definedName>
    <definedName name="AddMemberFirst_4" localSheetId="0" hidden="1">EPMMuotoilutaulukko!$D$122</definedName>
    <definedName name="AddMemberFirst_5" localSheetId="0" hidden="1">EPMMuotoilutaulukko!$D$125</definedName>
    <definedName name="AddMemberFirst_6" localSheetId="0" hidden="1">EPMMuotoilutaulukko!$D$128</definedName>
    <definedName name="AddMemberFirst_7" localSheetId="0" hidden="1">EPMMuotoilutaulukko!$D$131</definedName>
    <definedName name="AddMemberFirst_8" localSheetId="0" hidden="1">EPMMuotoilutaulukko!$D$134</definedName>
    <definedName name="AddMemberFirst_9" localSheetId="0" hidden="1">EPMMuotoilutaulukko!$D$137</definedName>
    <definedName name="AddMemberSecond" localSheetId="0" hidden="1">EPMMuotoilutaulukko!$D$91</definedName>
    <definedName name="AddMemberSecond_1" localSheetId="0" hidden="1">EPMMuotoilutaulukko!$D$86</definedName>
    <definedName name="AddMemberSecond_2" localSheetId="0" hidden="1">EPMMuotoilutaulukko!$D$89</definedName>
    <definedName name="DataFirst" localSheetId="0" hidden="1">EPMMuotoilutaulukko!$E$94:$G$94</definedName>
    <definedName name="DataSecond" localSheetId="0" hidden="1">EPMMuotoilutaulukko!$E$163:$G$163</definedName>
    <definedName name="DataUseFirst" localSheetId="0" hidden="1">EPMMuotoilutaulukko!$H$94</definedName>
    <definedName name="DataUseSecond" localSheetId="0" hidden="1">EPMMuotoilutaulukko!$H$163</definedName>
    <definedName name="EPMClientFormattingSheet" localSheetId="0" hidden="1">"2_0"</definedName>
    <definedName name="EPMWorkbookOptions_1" hidden="1">"pi0AAB+LCAAAAAAABADtvQdgHEmWJSYvbcp7f0r1StfgdKEIgGATJNiQQBDswYjN5pLsHWlHIymrKoHKZVZlXWYWQMztnbz33nvvvffee++997o7nU4n99//P1xmZAFs9s5K2smeIYCqyB8/fnwfPyIe/x7vFmV6mddNUS0/+2h3vPNRmi+n1axYXnz20bo939799KPf4+g3Th5/t6rfTqrq7Zerlpo2Kb23bB69a4rPPpq37erR3btXV1fj"</definedName>
    <definedName name="EPMWorkbookOptions_2" hidden="1">"q3vjqr64u7ezs3v39/7i+evpPF9k28WyabPlNP/IvjW7+a2PqNc0fXxSLZf5FH2+qU7WdZ0v258s8iv+Mvj6adZm+il9/iJb5NKb7anNF6t1XXBXXzV5/bLOz3OCN83HhNBHR7//s5df/P5PXp68+O7uzu//PX1p98HeeG93vHf/3vjevUcHO/v37zbZ6u5kNb37/d//e29+r6+Onz87lt9+/y/+0T/sH/3DXtH/jr+Nj86zssm///guUHGI"</definedName>
    <definedName name="EPMWorkbookOptions_3" hidden="1">"Ha9WZTHNPCLeGkEDI4TifazjPuoi08FBCOdomd4d/OrbxWyWL58Wi3zZMMbDTR22TdCGWr2eV1cWxklVVvVRW6/zx3cjX2x6lUcRebM3On2RmKPN37XPssuqLlrCi6dEXu59d4v3nxV103oIxL/vALJYDhPotq38dl8ti1+0znnkx2e/F01x7JtNAITcJN/3d3bvHex6AGITwe9+Wc/y+mjn8V35JQq9WZXZ9cu6WuV1e320e//T++f55Hz7"</definedName>
    <definedName name="EPMWorkbookOptions_4" hidden="1">"/qez/e39vfOH2wf383x7J8v39meTB/sPJvfQc/hWBPDzrGlf5yWJej77Il9MSGNFmoUcGW1ATeR9j0zfAwW/P/7ey+NXpy/efHuXft3b2X0w/smvvnx99vu//n3+0T/jzZt/9M8gUe69OdDDt4u8zurp/No1TUlVPloW5WcfgX8+6giS925kHm/37uO7N439myPOzsPx7/PtN6enL14f/3+dLI/v3oa3PPH4WZPj3+urL16+PH5x9vVleWdn"</definedName>
    <definedName name="EPMWorkbookOptions_5" hidden="1">"/2Bn5/aivPv/P1E2RAw59qvnv9eXZy9OX/x/nVm/WaoQv+z+f50i/28S39dvjl+8+Or1S9KYH2CR7927f39/f//2Urz3/0cpDmgZsu3v9e3f/83/583Ozwpl3nz16vf66vSLL39Enzh9SOHtMI3+v06d//dovTdnz4+/ev21ld2nD3Z3Dg4e3F7Z3fv/n7ITEv7IYbmJJv9/iTi+SZr8f54Y/6/SZB8Uen366b177xF77f//UpH1I4ydN1/8"</definedName>
    <definedName name="EPMWorkbookOptions_6" hidden="1">"f51Hvzl63Nv5lGL0H9HDOqxf/P6v/r9Ojf8XabAvz744e/Hmy+PnX51+fU323gnh+/8/1GQeJTsGlzTa/9c59punCrlmPyJKlyjPz14f/z6vf/L426cvXvw+r/+/Tp//F6m53+f3efnyA1y191Zwn/7/UMExDb8//h7x6bf/Px9EfBNUePPlm9+fBPX/66T4f4+Y/uTpq9dnX/4QxfTB///EVGgYmhVi0t//Jz/9/zqffsMU+f86Of7fI7a/"</definedName>
    <definedName name="EPMWorkbookOptions_7" hidden="1">"z6uzN7/P10/ovr/YHvz/T2yFhr1UyP/nF1u/SXr8fz6K+n+PyH5xevz6q1enP0yhffj/P6E1VBR38OXpq7Mvn56d/IhL36dRgE280eO7x6tVWUyzluDYz4NPTXOCVi2XhDh99jRrM/7Y//BN1R3841f5eZ038y+XX67y5dF5Vjb547vhh9zupMyzGkC/XL7OLnPTsvsxt/1uVb+dVNVb4s2WyWha978I21/NdNYenzU/mdVFNinzL/L6wkHo"</definedName>
    <definedName name="EPMWorkbookOptions_8" hidden="1">"ff4bJw7slyuhxv8D9i4f16YtAAA="</definedName>
    <definedName name="EvenDataFirst" localSheetId="0" hidden="1">EPMMuotoilutaulukko!$F$160</definedName>
    <definedName name="EvenDataSecond" localSheetId="0" hidden="1">EPMMuotoilutaulukko!$F$168</definedName>
    <definedName name="EvenDataUseFirst" localSheetId="0" hidden="1">EPMMuotoilutaulukko!$H$160</definedName>
    <definedName name="EvenDataUseSecond" localSheetId="0" hidden="1">EPMMuotoilutaulukko!$H$168</definedName>
    <definedName name="EvenHeaderFirst" localSheetId="0" hidden="1">EPMMuotoilutaulukko!$J$160</definedName>
    <definedName name="EvenHeaderSecond" localSheetId="0" hidden="1">EPMMuotoilutaulukko!$J$168</definedName>
    <definedName name="EvenHeaderUseFirst" localSheetId="0" hidden="1">EPMMuotoilutaulukko!$L$160</definedName>
    <definedName name="EvenHeaderUseSecond" localSheetId="0" hidden="1">EPMMuotoilutaulukko!$L$168</definedName>
    <definedName name="HeaderFirst" localSheetId="0" hidden="1">EPMMuotoilutaulukko!$I$94:$K$94</definedName>
    <definedName name="HeaderSecond" localSheetId="0" hidden="1">EPMMuotoilutaulukko!$I$163:$K$163</definedName>
    <definedName name="HeaderSmallGrid" localSheetId="0" hidden="1">EPMMuotoilutaulukko!$E$174:$G$174</definedName>
    <definedName name="HeaderUseFirst" localSheetId="0" hidden="1">EPMMuotoilutaulukko!$L$94</definedName>
    <definedName name="HeaderUseSecond" localSheetId="0" hidden="1">EPMMuotoilutaulukko!$L$163</definedName>
    <definedName name="HeaderUseSmallGrid" localSheetId="0" hidden="1">EPMMuotoilutaulukko!$H$174:$L$174</definedName>
    <definedName name="LevelEndBlock" localSheetId="0" hidden="1">EPMMuotoilutaulukko!$B$61</definedName>
    <definedName name="LevelFirstBlock" localSheetId="0" hidden="1">EPMMuotoilutaulukko!$B$28:$B$60</definedName>
    <definedName name="LevelFirstDataDefault" localSheetId="0" hidden="1">EPMMuotoilutaulukko!$F$32</definedName>
    <definedName name="LevelFirstDataLeaf" localSheetId="0" hidden="1">EPMMuotoilutaulukko!$F$35</definedName>
    <definedName name="LevelFirstDataLevel_1" localSheetId="0" hidden="1">EPMMuotoilutaulukko!$F$39</definedName>
    <definedName name="LevelFirstDataLevel_2" localSheetId="0" hidden="1">EPMMuotoilutaulukko!$F$42</definedName>
    <definedName name="LevelFirstDataLevel_3" localSheetId="0" hidden="1">EPMMuotoilutaulukko!$F$45</definedName>
    <definedName name="LevelFirstDataLevel_4" localSheetId="0" hidden="1">EPMMuotoilutaulukko!$F$48</definedName>
    <definedName name="LevelFirstDataLevel_5" localSheetId="0" hidden="1">EPMMuotoilutaulukko!$F$51</definedName>
    <definedName name="LevelFirstDataLevel_6" localSheetId="0" hidden="1">EPMMuotoilutaulukko!$F$54</definedName>
    <definedName name="LevelFirstDataLevel_7" localSheetId="0" hidden="1">EPMMuotoilutaulukko!$F$57</definedName>
    <definedName name="LevelFirstDataUseDefault" localSheetId="0" hidden="1">EPMMuotoilutaulukko!$H$32</definedName>
    <definedName name="LevelFirstDataUseLeaf" localSheetId="0" hidden="1">EPMMuotoilutaulukko!$H$35</definedName>
    <definedName name="LevelFirstDataUseLevel_1" localSheetId="0" hidden="1">EPMMuotoilutaulukko!$H$39</definedName>
    <definedName name="LevelFirstDataUseLevel_2" localSheetId="0" hidden="1">EPMMuotoilutaulukko!$H$42</definedName>
    <definedName name="LevelFirstDataUseLevel_3" localSheetId="0" hidden="1">EPMMuotoilutaulukko!$H$45</definedName>
    <definedName name="LevelFirstDataUseLevel_4" localSheetId="0" hidden="1">EPMMuotoilutaulukko!$H$48</definedName>
    <definedName name="LevelFirstDataUseLevel_5" localSheetId="0" hidden="1">EPMMuotoilutaulukko!$H$51</definedName>
    <definedName name="LevelFirstDataUseLevel_6" localSheetId="0" hidden="1">EPMMuotoilutaulukko!$H$54</definedName>
    <definedName name="LevelFirstDataUseLevel_7" localSheetId="0" hidden="1">EPMMuotoilutaulukko!$H$57</definedName>
    <definedName name="LevelFirstHeaderDefault" localSheetId="0" hidden="1">EPMMuotoilutaulukko!$J$32</definedName>
    <definedName name="LevelFirstHeaderLeaf" localSheetId="0" hidden="1">EPMMuotoilutaulukko!$J$35</definedName>
    <definedName name="LevelFirstHeaderLevel_1" localSheetId="0" hidden="1">EPMMuotoilutaulukko!$J$39</definedName>
    <definedName name="LevelFirstHeaderLevel_2" localSheetId="0" hidden="1">EPMMuotoilutaulukko!$J$42</definedName>
    <definedName name="LevelFirstHeaderLevel_3" localSheetId="0" hidden="1">EPMMuotoilutaulukko!$J$45</definedName>
    <definedName name="LevelFirstHeaderLevel_4" localSheetId="0" hidden="1">EPMMuotoilutaulukko!$J$48</definedName>
    <definedName name="LevelFirstHeaderLevel_5" localSheetId="0" hidden="1">EPMMuotoilutaulukko!$J$51</definedName>
    <definedName name="LevelFirstHeaderLevel_6" localSheetId="0" hidden="1">EPMMuotoilutaulukko!$J$54</definedName>
    <definedName name="LevelFirstHeaderLevel_7" localSheetId="0" hidden="1">EPMMuotoilutaulukko!$J$57</definedName>
    <definedName name="LevelFirstHeaderUseDefault" localSheetId="0" hidden="1">EPMMuotoilutaulukko!$L$32</definedName>
    <definedName name="LevelFirstHeaderUseLeaf" localSheetId="0" hidden="1">EPMMuotoilutaulukko!$L$35</definedName>
    <definedName name="LevelFirstHeaderUseLevel_1" localSheetId="0" hidden="1">EPMMuotoilutaulukko!$L$39</definedName>
    <definedName name="LevelFirstHeaderUseLevel_2" localSheetId="0" hidden="1">EPMMuotoilutaulukko!$L$42</definedName>
    <definedName name="LevelFirstHeaderUseLevel_3" localSheetId="0" hidden="1">EPMMuotoilutaulukko!$L$45</definedName>
    <definedName name="LevelFirstHeaderUseLevel_4" localSheetId="0" hidden="1">EPMMuotoilutaulukko!$L$48</definedName>
    <definedName name="LevelFirstHeaderUseLevel_5" localSheetId="0" hidden="1">EPMMuotoilutaulukko!$L$51</definedName>
    <definedName name="LevelFirstHeaderUseLevel_6" localSheetId="0" hidden="1">EPMMuotoilutaulukko!$L$54</definedName>
    <definedName name="LevelFirstHeaderUseLevel_7" localSheetId="0" hidden="1">EPMMuotoilutaulukko!$L$57</definedName>
    <definedName name="LevelSecondBlock" localSheetId="0" hidden="1">EPMMuotoilutaulukko!$B$7:$B$27</definedName>
    <definedName name="LevelSecondDataDefault" localSheetId="0" hidden="1">EPMMuotoilutaulukko!$F$11</definedName>
    <definedName name="LevelSecondDataLeaf" localSheetId="0" hidden="1">EPMMuotoilutaulukko!$F$14</definedName>
    <definedName name="LevelSecondDataLevel_1" localSheetId="0" hidden="1">EPMMuotoilutaulukko!$F$18</definedName>
    <definedName name="LevelSecondDataLevel_2" localSheetId="0" hidden="1">EPMMuotoilutaulukko!$F$21</definedName>
    <definedName name="LevelSecondDataLevel_3" localSheetId="0" hidden="1">EPMMuotoilutaulukko!$F$24</definedName>
    <definedName name="LevelSecondDataUseDefault" localSheetId="0" hidden="1">EPMMuotoilutaulukko!$H$11</definedName>
    <definedName name="LevelSecondDataUseLeaf" localSheetId="0" hidden="1">EPMMuotoilutaulukko!$H$14</definedName>
    <definedName name="LevelSecondDataUseLevel_1" localSheetId="0" hidden="1">EPMMuotoilutaulukko!$H$18</definedName>
    <definedName name="LevelSecondDataUseLevel_2" localSheetId="0" hidden="1">EPMMuotoilutaulukko!$H$21</definedName>
    <definedName name="LevelSecondDataUseLevel_3" localSheetId="0" hidden="1">EPMMuotoilutaulukko!$H$24</definedName>
    <definedName name="LevelSecondHeaderDefault" localSheetId="0" hidden="1">EPMMuotoilutaulukko!$J$11</definedName>
    <definedName name="LevelSecondHeaderLeaf" localSheetId="0" hidden="1">EPMMuotoilutaulukko!$J$14</definedName>
    <definedName name="LevelSecondHeaderLevel_1" localSheetId="0" hidden="1">EPMMuotoilutaulukko!$J$18</definedName>
    <definedName name="LevelSecondHeaderLevel_2" localSheetId="0" hidden="1">EPMMuotoilutaulukko!$J$21</definedName>
    <definedName name="LevelSecondHeaderLevel_3" localSheetId="0" hidden="1">EPMMuotoilutaulukko!$J$24</definedName>
    <definedName name="LevelSecondHeaderUseDefault" localSheetId="0" hidden="1">EPMMuotoilutaulukko!$L$11</definedName>
    <definedName name="LevelSecondHeaderUseLeaf" localSheetId="0" hidden="1">EPMMuotoilutaulukko!$L$14</definedName>
    <definedName name="LevelSecondHeaderUseLevel_1" localSheetId="0" hidden="1">EPMMuotoilutaulukko!$L$18</definedName>
    <definedName name="LevelSecondHeaderUseLevel_2" localSheetId="0" hidden="1">EPMMuotoilutaulukko!$L$21</definedName>
    <definedName name="LevelSecondHeaderUseLevel_3" localSheetId="0" hidden="1">EPMMuotoilutaulukko!$L$24</definedName>
    <definedName name="MemberEndBlock" localSheetId="0" hidden="1">EPMMuotoilutaulukko!$B$150</definedName>
    <definedName name="MemberFirstBlock" localSheetId="0" hidden="1">EPMMuotoilutaulukko!$B$93:$B$149</definedName>
    <definedName name="MemberFirstDataCalculated" localSheetId="0" hidden="1">EPMMuotoilutaulukko!$F$99</definedName>
    <definedName name="MemberFirstDataChanged" localSheetId="0" hidden="1">EPMMuotoilutaulukko!$F$108</definedName>
    <definedName name="MemberFirstDataCustom" localSheetId="0" hidden="1">EPMMuotoilutaulukko!$F$96</definedName>
    <definedName name="MemberFirstDataInputable" localSheetId="0" hidden="1">EPMMuotoilutaulukko!$F$102</definedName>
    <definedName name="MemberFirstDataItem_1" localSheetId="0" hidden="1">EPMMuotoilutaulukko!$F$113</definedName>
    <definedName name="MemberFirstDataItem_10" localSheetId="0" hidden="1">EPMMuotoilutaulukko!$F$140</definedName>
    <definedName name="MemberFirstDataItem_11" localSheetId="0" hidden="1">EPMMuotoilutaulukko!$F$143</definedName>
    <definedName name="MemberFirstDataItem_12" localSheetId="0" hidden="1">EPMMuotoilutaulukko!$F$146</definedName>
    <definedName name="MemberFirstDataItem_2" localSheetId="0" hidden="1">EPMMuotoilutaulukko!$F$116</definedName>
    <definedName name="MemberFirstDataItem_3" localSheetId="0" hidden="1">EPMMuotoilutaulukko!$F$119</definedName>
    <definedName name="MemberFirstDataItem_4" localSheetId="0" hidden="1">EPMMuotoilutaulukko!$F$122</definedName>
    <definedName name="MemberFirstDataItem_5" localSheetId="0" hidden="1">EPMMuotoilutaulukko!$F$125</definedName>
    <definedName name="MemberFirstDataItem_6" localSheetId="0" hidden="1">EPMMuotoilutaulukko!$F$128</definedName>
    <definedName name="MemberFirstDataItem_7" localSheetId="0" hidden="1">EPMMuotoilutaulukko!$F$131</definedName>
    <definedName name="MemberFirstDataItem_8" localSheetId="0" hidden="1">EPMMuotoilutaulukko!$F$134</definedName>
    <definedName name="MemberFirstDataItem_9" localSheetId="0" hidden="1">EPMMuotoilutaulukko!$F$137</definedName>
    <definedName name="MemberFirstDataLocal" localSheetId="0" hidden="1">EPMMuotoilutaulukko!$F$105</definedName>
    <definedName name="MemberFirstDataUseCalculated" localSheetId="0" hidden="1">EPMMuotoilutaulukko!$H$99</definedName>
    <definedName name="MemberFirstDataUseChanged" localSheetId="0" hidden="1">EPMMuotoilutaulukko!$H$108</definedName>
    <definedName name="MemberFirstDataUseCustom" localSheetId="0" hidden="1">EPMMuotoilutaulukko!$H$96</definedName>
    <definedName name="MemberFirstDataUseInputable" localSheetId="0" hidden="1">EPMMuotoilutaulukko!$H$102</definedName>
    <definedName name="MemberFirstDataUseItem_1" localSheetId="0" hidden="1">EPMMuotoilutaulukko!$H$113</definedName>
    <definedName name="MemberFirstDataUseItem_10" localSheetId="0" hidden="1">EPMMuotoilutaulukko!$H$140</definedName>
    <definedName name="MemberFirstDataUseItem_11" localSheetId="0" hidden="1">EPMMuotoilutaulukko!$H$143</definedName>
    <definedName name="MemberFirstDataUseItem_12" localSheetId="0" hidden="1">EPMMuotoilutaulukko!$H$146</definedName>
    <definedName name="MemberFirstDataUseItem_2" localSheetId="0" hidden="1">EPMMuotoilutaulukko!$H$116</definedName>
    <definedName name="MemberFirstDataUseItem_3" localSheetId="0" hidden="1">EPMMuotoilutaulukko!$H$119</definedName>
    <definedName name="MemberFirstDataUseItem_4" localSheetId="0" hidden="1">EPMMuotoilutaulukko!$H$122</definedName>
    <definedName name="MemberFirstDataUseItem_5" localSheetId="0" hidden="1">EPMMuotoilutaulukko!$H$125</definedName>
    <definedName name="MemberFirstDataUseItem_6" localSheetId="0" hidden="1">EPMMuotoilutaulukko!$H$128</definedName>
    <definedName name="MemberFirstDataUseItem_7" localSheetId="0" hidden="1">EPMMuotoilutaulukko!$H$131</definedName>
    <definedName name="MemberFirstDataUseItem_8" localSheetId="0" hidden="1">EPMMuotoilutaulukko!$H$134</definedName>
    <definedName name="MemberFirstDataUseItem_9" localSheetId="0" hidden="1">EPMMuotoilutaulukko!$H$137</definedName>
    <definedName name="MemberFirstDataUseLocal" localSheetId="0" hidden="1">EPMMuotoilutaulukko!$H$105</definedName>
    <definedName name="MemberFirstHeaderCalculated" localSheetId="0" hidden="1">EPMMuotoilutaulukko!$J$99</definedName>
    <definedName name="MemberFirstHeaderChanged" localSheetId="0" hidden="1">EPMMuotoilutaulukko!$J$108</definedName>
    <definedName name="MemberFirstHeaderCustom" localSheetId="0" hidden="1">EPMMuotoilutaulukko!$J$96</definedName>
    <definedName name="MemberFirstHeaderInputable" localSheetId="0" hidden="1">EPMMuotoilutaulukko!$J$102</definedName>
    <definedName name="MemberFirstHeaderItem_1" localSheetId="0" hidden="1">EPMMuotoilutaulukko!$J$113</definedName>
    <definedName name="MemberFirstHeaderItem_10" localSheetId="0" hidden="1">EPMMuotoilutaulukko!$J$140</definedName>
    <definedName name="MemberFirstHeaderItem_11" localSheetId="0" hidden="1">EPMMuotoilutaulukko!$J$143</definedName>
    <definedName name="MemberFirstHeaderItem_12" localSheetId="0" hidden="1">EPMMuotoilutaulukko!$J$146</definedName>
    <definedName name="MemberFirstHeaderItem_2" localSheetId="0" hidden="1">EPMMuotoilutaulukko!$J$116</definedName>
    <definedName name="MemberFirstHeaderItem_3" localSheetId="0" hidden="1">EPMMuotoilutaulukko!$J$119</definedName>
    <definedName name="MemberFirstHeaderItem_4" localSheetId="0" hidden="1">EPMMuotoilutaulukko!$J$122</definedName>
    <definedName name="MemberFirstHeaderItem_5" localSheetId="0" hidden="1">EPMMuotoilutaulukko!$J$125</definedName>
    <definedName name="MemberFirstHeaderItem_6" localSheetId="0" hidden="1">EPMMuotoilutaulukko!$J$128</definedName>
    <definedName name="MemberFirstHeaderItem_7" localSheetId="0" hidden="1">EPMMuotoilutaulukko!$J$131</definedName>
    <definedName name="MemberFirstHeaderItem_8" localSheetId="0" hidden="1">EPMMuotoilutaulukko!$J$134</definedName>
    <definedName name="MemberFirstHeaderItem_9" localSheetId="0" hidden="1">EPMMuotoilutaulukko!$J$137</definedName>
    <definedName name="MemberFirstHeaderLocal" localSheetId="0" hidden="1">EPMMuotoilutaulukko!$J$105</definedName>
    <definedName name="MemberFirstHeaderUseCalculated" localSheetId="0" hidden="1">EPMMuotoilutaulukko!$L$99</definedName>
    <definedName name="MemberFirstHeaderUseChanged" localSheetId="0" hidden="1">EPMMuotoilutaulukko!$L$108</definedName>
    <definedName name="MemberFirstHeaderUseCustom" localSheetId="0" hidden="1">EPMMuotoilutaulukko!$L$96</definedName>
    <definedName name="MemberFirstHeaderUseInputable" localSheetId="0" hidden="1">EPMMuotoilutaulukko!$L$102</definedName>
    <definedName name="MemberFirstHeaderUseItem_1" localSheetId="0" hidden="1">EPMMuotoilutaulukko!$L$113</definedName>
    <definedName name="MemberFirstHeaderUseItem_10" localSheetId="0" hidden="1">EPMMuotoilutaulukko!$L$140</definedName>
    <definedName name="MemberFirstHeaderUseItem_11" localSheetId="0" hidden="1">EPMMuotoilutaulukko!$L$143</definedName>
    <definedName name="MemberFirstHeaderUseItem_12" localSheetId="0" hidden="1">EPMMuotoilutaulukko!$L$146</definedName>
    <definedName name="MemberFirstHeaderUseItem_2" localSheetId="0" hidden="1">EPMMuotoilutaulukko!$L$116</definedName>
    <definedName name="MemberFirstHeaderUseItem_3" localSheetId="0" hidden="1">EPMMuotoilutaulukko!$L$119</definedName>
    <definedName name="MemberFirstHeaderUseItem_4" localSheetId="0" hidden="1">EPMMuotoilutaulukko!$L$122</definedName>
    <definedName name="MemberFirstHeaderUseItem_5" localSheetId="0" hidden="1">EPMMuotoilutaulukko!$L$125</definedName>
    <definedName name="MemberFirstHeaderUseItem_6" localSheetId="0" hidden="1">EPMMuotoilutaulukko!$L$128</definedName>
    <definedName name="MemberFirstHeaderUseItem_7" localSheetId="0" hidden="1">EPMMuotoilutaulukko!$L$131</definedName>
    <definedName name="MemberFirstHeaderUseItem_8" localSheetId="0" hidden="1">EPMMuotoilutaulukko!$L$134</definedName>
    <definedName name="MemberFirstHeaderUseItem_9" localSheetId="0" hidden="1">EPMMuotoilutaulukko!$L$137</definedName>
    <definedName name="MemberFirstHeaderUseLocal" localSheetId="0" hidden="1">EPMMuotoilutaulukko!$L$105</definedName>
    <definedName name="MemberSecondBlock" localSheetId="0" hidden="1">EPMMuotoilutaulukko!$B$66:$B$92</definedName>
    <definedName name="MemberSecondDataCalculated" localSheetId="0" hidden="1">EPMMuotoilutaulukko!$F$72</definedName>
    <definedName name="MemberSecondDataChanged" localSheetId="0" hidden="1">EPMMuotoilutaulukko!$F$81</definedName>
    <definedName name="MemberSecondDataCustom" localSheetId="0" hidden="1">EPMMuotoilutaulukko!$F$69</definedName>
    <definedName name="MemberSecondDataInputable" localSheetId="0" hidden="1">EPMMuotoilutaulukko!$F$75</definedName>
    <definedName name="MemberSecondDataItem_1" localSheetId="0" hidden="1">EPMMuotoilutaulukko!$F$86</definedName>
    <definedName name="MemberSecondDataItem_2" localSheetId="0" hidden="1">EPMMuotoilutaulukko!$F$89</definedName>
    <definedName name="MemberSecondDataLocal" localSheetId="0" hidden="1">EPMMuotoilutaulukko!$F$78</definedName>
    <definedName name="MemberSecondDataUseCalculated" localSheetId="0" hidden="1">EPMMuotoilutaulukko!$H$72</definedName>
    <definedName name="MemberSecondDataUseChanged" localSheetId="0" hidden="1">EPMMuotoilutaulukko!$H$81</definedName>
    <definedName name="MemberSecondDataUseCustom" localSheetId="0" hidden="1">EPMMuotoilutaulukko!$H$69</definedName>
    <definedName name="MemberSecondDataUseInputable" localSheetId="0" hidden="1">EPMMuotoilutaulukko!$H$75</definedName>
    <definedName name="MemberSecondDataUseItem_1" localSheetId="0" hidden="1">EPMMuotoilutaulukko!$H$86</definedName>
    <definedName name="MemberSecondDataUseItem_2" localSheetId="0" hidden="1">EPMMuotoilutaulukko!$H$89</definedName>
    <definedName name="MemberSecondDataUseLocal" localSheetId="0" hidden="1">EPMMuotoilutaulukko!$H$78</definedName>
    <definedName name="MemberSecondHeaderCalculated" localSheetId="0" hidden="1">EPMMuotoilutaulukko!$J$72</definedName>
    <definedName name="MemberSecondHeaderChanged" localSheetId="0" hidden="1">EPMMuotoilutaulukko!$J$81</definedName>
    <definedName name="MemberSecondHeaderCustom" localSheetId="0" hidden="1">EPMMuotoilutaulukko!$J$69</definedName>
    <definedName name="MemberSecondHeaderInputable" localSheetId="0" hidden="1">EPMMuotoilutaulukko!$J$75</definedName>
    <definedName name="MemberSecondHeaderItem_1" localSheetId="0" hidden="1">EPMMuotoilutaulukko!$J$86</definedName>
    <definedName name="MemberSecondHeaderItem_2" localSheetId="0" hidden="1">EPMMuotoilutaulukko!$J$89</definedName>
    <definedName name="MemberSecondHeaderLocal" localSheetId="0" hidden="1">EPMMuotoilutaulukko!$J$78</definedName>
    <definedName name="MemberSecondHeaderUseCalculated" localSheetId="0" hidden="1">EPMMuotoilutaulukko!$L$72</definedName>
    <definedName name="MemberSecondHeaderUseChanged" localSheetId="0" hidden="1">EPMMuotoilutaulukko!$L$81</definedName>
    <definedName name="MemberSecondHeaderUseCustom" localSheetId="0" hidden="1">EPMMuotoilutaulukko!$L$69</definedName>
    <definedName name="MemberSecondHeaderUseInputable" localSheetId="0" hidden="1">EPMMuotoilutaulukko!$L$75</definedName>
    <definedName name="MemberSecondHeaderUseItem_1" localSheetId="0" hidden="1">EPMMuotoilutaulukko!$L$86</definedName>
    <definedName name="MemberSecondHeaderUseItem_2" localSheetId="0" hidden="1">EPMMuotoilutaulukko!$L$89</definedName>
    <definedName name="MemberSecondHeaderUseLocal" localSheetId="0" hidden="1">EPMMuotoilutaulukko!$L$78</definedName>
    <definedName name="OddDataFirst" localSheetId="0" hidden="1">EPMMuotoilutaulukko!$F$157</definedName>
    <definedName name="OddDataSecond" localSheetId="0" hidden="1">EPMMuotoilutaulukko!$F$165</definedName>
    <definedName name="OddDataUseFirst" localSheetId="0" hidden="1">EPMMuotoilutaulukko!$H$157</definedName>
    <definedName name="OddDataUseSecond" localSheetId="0" hidden="1">EPMMuotoilutaulukko!$H$165</definedName>
    <definedName name="OddEvenEndBlock" localSheetId="0" hidden="1">EPMMuotoilutaulukko!$B$170</definedName>
    <definedName name="OddEvenFirstBlock" localSheetId="0" hidden="1">EPMMuotoilutaulukko!$B$154:$B$161</definedName>
    <definedName name="OddEvenSecondBlock" localSheetId="0" hidden="1">EPMMuotoilutaulukko!$B$162:$B$169</definedName>
    <definedName name="OddHeaderFirst" localSheetId="0" hidden="1">EPMMuotoilutaulukko!$J$157</definedName>
    <definedName name="OddHeaderSecond" localSheetId="0" hidden="1">EPMMuotoilutaulukko!$J$165</definedName>
    <definedName name="OddHeaderUseFirst" localSheetId="0" hidden="1">EPMMuotoilutaulukko!$L$157</definedName>
    <definedName name="OddHeaderUseSecond" localSheetId="0" hidden="1">EPMMuotoilutaulukko!$L$165</definedName>
    <definedName name="PageHeaderDefaultHeader" localSheetId="0" hidden="1">EPMMuotoilutaulukko!$F$176</definedName>
    <definedName name="PageHeaderDefaultHeaderUse" localSheetId="0" hidden="1">EPMMuotoilutaulukko!$H$176:$L$176</definedName>
    <definedName name="RemoveLevelFirst" localSheetId="0" hidden="1">EPMMuotoilutaulukko!$D$59</definedName>
    <definedName name="RemoveLevelSecond" localSheetId="0" hidden="1">EPMMuotoilutaulukko!$D$26</definedName>
    <definedName name="_xlnm.Print_Area" localSheetId="1">Tuloslaskelma!$M$15:$Y$114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7" i="1" l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4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100" i="1"/>
  <c r="T101" i="1"/>
  <c r="T102" i="1"/>
  <c r="T103" i="1"/>
  <c r="T104" i="1"/>
  <c r="T105" i="1"/>
  <c r="T106" i="1"/>
  <c r="T107" i="1"/>
  <c r="T109" i="1"/>
  <c r="T110" i="1"/>
  <c r="T111" i="1"/>
  <c r="T112" i="1"/>
  <c r="T113" i="1"/>
  <c r="O37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8" i="1"/>
  <c r="O60" i="1"/>
  <c r="O61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3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9" i="1"/>
  <c r="O101" i="1"/>
  <c r="O102" i="1"/>
  <c r="O103" i="1"/>
  <c r="O104" i="1"/>
  <c r="O105" i="1"/>
  <c r="O106" i="1"/>
  <c r="O107" i="1"/>
  <c r="O108" i="1"/>
  <c r="O110" i="1"/>
  <c r="O111" i="1"/>
  <c r="O112" i="1"/>
  <c r="O113" i="1"/>
  <c r="O114" i="1"/>
  <c r="P83" i="1"/>
  <c r="Q83" i="1"/>
  <c r="R83" i="1"/>
  <c r="S83" i="1"/>
  <c r="U83" i="1"/>
  <c r="P58" i="1"/>
  <c r="P85" i="1" s="1"/>
  <c r="P99" i="1" s="1"/>
  <c r="P108" i="1" s="1"/>
  <c r="P114" i="1" s="1"/>
  <c r="Q58" i="1"/>
  <c r="R58" i="1"/>
  <c r="S58" i="1"/>
  <c r="S85" i="1" s="1"/>
  <c r="S99" i="1" s="1"/>
  <c r="S108" i="1" s="1"/>
  <c r="S114" i="1" s="1"/>
  <c r="U58" i="1"/>
  <c r="U85" i="1" s="1"/>
  <c r="N29" i="1"/>
  <c r="N30" i="1"/>
  <c r="N31" i="1"/>
  <c r="N32" i="1"/>
  <c r="N33" i="1"/>
  <c r="N34" i="1"/>
  <c r="R34" i="1"/>
  <c r="V34" i="1"/>
  <c r="Z34" i="1"/>
  <c r="N35" i="1"/>
  <c r="R35" i="1"/>
  <c r="V35" i="1"/>
  <c r="Z35" i="1"/>
  <c r="O29" i="1"/>
  <c r="O30" i="1"/>
  <c r="O31" i="1"/>
  <c r="O32" i="1"/>
  <c r="O33" i="1"/>
  <c r="O34" i="1"/>
  <c r="S34" i="1"/>
  <c r="W34" i="1"/>
  <c r="AA34" i="1"/>
  <c r="O35" i="1"/>
  <c r="S35" i="1"/>
  <c r="W35" i="1"/>
  <c r="AA35" i="1"/>
  <c r="L29" i="1"/>
  <c r="L30" i="1"/>
  <c r="L31" i="1"/>
  <c r="L32" i="1"/>
  <c r="L33" i="1"/>
  <c r="L34" i="1"/>
  <c r="P34" i="1"/>
  <c r="T34" i="1"/>
  <c r="X34" i="1"/>
  <c r="L35" i="1"/>
  <c r="P35" i="1"/>
  <c r="T35" i="1"/>
  <c r="X35" i="1"/>
  <c r="M29" i="1"/>
  <c r="M30" i="1"/>
  <c r="M31" i="1"/>
  <c r="M32" i="1"/>
  <c r="M33" i="1"/>
  <c r="M34" i="1"/>
  <c r="Q34" i="1"/>
  <c r="U34" i="1"/>
  <c r="Y34" i="1"/>
  <c r="M35" i="1"/>
  <c r="Q35" i="1"/>
  <c r="U35" i="1"/>
  <c r="Y35" i="1"/>
  <c r="P124" i="1"/>
  <c r="H23" i="1"/>
  <c r="Q85" i="1" l="1"/>
  <c r="T85" i="1" s="1"/>
  <c r="T83" i="1"/>
  <c r="R85" i="1"/>
  <c r="R99" i="1" s="1"/>
  <c r="R108" i="1" s="1"/>
  <c r="R114" i="1" s="1"/>
  <c r="Q99" i="1"/>
  <c r="U99" i="1"/>
  <c r="T58" i="1"/>
  <c r="AA21" i="1"/>
  <c r="Z21" i="1"/>
  <c r="X21" i="1"/>
  <c r="V21" i="1"/>
  <c r="AA18" i="1"/>
  <c r="V18" i="1"/>
  <c r="T99" i="1" l="1"/>
  <c r="Q108" i="1"/>
  <c r="U108" i="1"/>
  <c r="U20" i="1"/>
  <c r="U19" i="1"/>
  <c r="S20" i="1"/>
  <c r="R20" i="1"/>
  <c r="Q20" i="1"/>
  <c r="P20" i="1"/>
  <c r="S19" i="1"/>
  <c r="R19" i="1"/>
  <c r="Q19" i="1"/>
  <c r="P19" i="1"/>
  <c r="T30" i="1"/>
  <c r="S30" i="1"/>
  <c r="T29" i="1"/>
  <c r="S29" i="1"/>
  <c r="R30" i="1"/>
  <c r="R29" i="1"/>
  <c r="Q30" i="1"/>
  <c r="Y30" i="1"/>
  <c r="U30" i="1"/>
  <c r="X30" i="1"/>
  <c r="AA30" i="1"/>
  <c r="W30" i="1"/>
  <c r="Z30" i="1"/>
  <c r="V30" i="1"/>
  <c r="Q29" i="1"/>
  <c r="Y29" i="1"/>
  <c r="U29" i="1"/>
  <c r="X29" i="1"/>
  <c r="AA29" i="1"/>
  <c r="W29" i="1"/>
  <c r="Z29" i="1"/>
  <c r="V29" i="1"/>
  <c r="P30" i="1"/>
  <c r="P29" i="1"/>
  <c r="U114" i="1" l="1"/>
  <c r="Q114" i="1"/>
  <c r="T114" i="1" s="1"/>
  <c r="T108" i="1"/>
  <c r="D57" i="2"/>
  <c r="D54" i="2"/>
  <c r="D51" i="2"/>
  <c r="D48" i="2"/>
  <c r="K97" i="1"/>
  <c r="K106" i="1"/>
  <c r="K110" i="1"/>
  <c r="K57" i="1"/>
  <c r="K38" i="1"/>
  <c r="P130" i="1"/>
  <c r="K59" i="1"/>
  <c r="K77" i="1"/>
  <c r="K103" i="1"/>
  <c r="K72" i="1"/>
  <c r="K75" i="1"/>
  <c r="K86" i="1"/>
  <c r="K37" i="1"/>
  <c r="K47" i="1"/>
  <c r="K45" i="1"/>
  <c r="K82" i="1"/>
  <c r="K93" i="1"/>
  <c r="K98" i="1"/>
  <c r="K114" i="1"/>
  <c r="P131" i="1"/>
  <c r="K52" i="1"/>
  <c r="K55" i="1"/>
  <c r="K56" i="1"/>
  <c r="K69" i="1"/>
  <c r="K46" i="1"/>
  <c r="K108" i="1"/>
  <c r="K40" i="1"/>
  <c r="P128" i="1"/>
  <c r="K74" i="1"/>
  <c r="K76" i="1"/>
  <c r="K66" i="1"/>
  <c r="K36" i="1"/>
  <c r="K63" i="1"/>
  <c r="K71" i="1"/>
  <c r="P127" i="1"/>
  <c r="K104" i="1"/>
  <c r="K87" i="1"/>
  <c r="K79" i="1"/>
  <c r="K58" i="1"/>
  <c r="K62" i="1"/>
  <c r="K41" i="1"/>
  <c r="K64" i="1"/>
  <c r="K92" i="1"/>
  <c r="K54" i="1"/>
  <c r="K88" i="1"/>
  <c r="K78" i="1"/>
  <c r="K50" i="1"/>
  <c r="K109" i="1"/>
  <c r="K112" i="1"/>
  <c r="K91" i="1"/>
  <c r="K84" i="1"/>
  <c r="K102" i="1"/>
  <c r="K80" i="1"/>
  <c r="K101" i="1"/>
  <c r="K49" i="1"/>
  <c r="K70" i="1"/>
  <c r="P126" i="1"/>
  <c r="K89" i="1"/>
  <c r="P123" i="1"/>
  <c r="K99" i="1"/>
  <c r="K44" i="1"/>
  <c r="K94" i="1"/>
  <c r="K65" i="1"/>
  <c r="K90" i="1"/>
  <c r="K107" i="1"/>
  <c r="K113" i="1"/>
  <c r="K96" i="1"/>
  <c r="K95" i="1"/>
  <c r="K81" i="1"/>
  <c r="K53" i="1"/>
  <c r="K85" i="1"/>
  <c r="P132" i="1"/>
  <c r="K105" i="1"/>
  <c r="P129" i="1"/>
  <c r="R129" i="1" s="1"/>
  <c r="K51" i="1"/>
  <c r="K67" i="1"/>
  <c r="K73" i="1"/>
  <c r="K68" i="1"/>
  <c r="K61" i="1"/>
  <c r="K43" i="1"/>
  <c r="K39" i="1"/>
  <c r="P133" i="1"/>
  <c r="K83" i="1"/>
  <c r="K111" i="1"/>
  <c r="K48" i="1"/>
  <c r="K42" i="1"/>
  <c r="P125" i="1"/>
  <c r="K100" i="1"/>
  <c r="K60" i="1"/>
  <c r="N97" i="1"/>
  <c r="N106" i="1"/>
  <c r="N110" i="1"/>
  <c r="O57" i="1"/>
  <c r="N57" i="1"/>
  <c r="O38" i="1"/>
  <c r="N38" i="1"/>
  <c r="N59" i="1"/>
  <c r="O59" i="1"/>
  <c r="N77" i="1"/>
  <c r="N103" i="1"/>
  <c r="N72" i="1"/>
  <c r="N75" i="1"/>
  <c r="N86" i="1"/>
  <c r="N37" i="1"/>
  <c r="N47" i="1"/>
  <c r="N45" i="1"/>
  <c r="O82" i="1"/>
  <c r="N82" i="1"/>
  <c r="N93" i="1"/>
  <c r="O98" i="1"/>
  <c r="N98" i="1"/>
  <c r="N114" i="1"/>
  <c r="N52" i="1"/>
  <c r="N55" i="1"/>
  <c r="N56" i="1"/>
  <c r="N69" i="1"/>
  <c r="N46" i="1"/>
  <c r="N108" i="1"/>
  <c r="N40" i="1"/>
  <c r="N74" i="1"/>
  <c r="N76" i="1"/>
  <c r="N66" i="1"/>
  <c r="N63" i="1"/>
  <c r="N71" i="1"/>
  <c r="N104" i="1"/>
  <c r="N87" i="1"/>
  <c r="N79" i="1"/>
  <c r="N58" i="1"/>
  <c r="O62" i="1"/>
  <c r="N62" i="1"/>
  <c r="N41" i="1"/>
  <c r="N64" i="1"/>
  <c r="N92" i="1"/>
  <c r="N54" i="1"/>
  <c r="N88" i="1"/>
  <c r="N78" i="1"/>
  <c r="N50" i="1"/>
  <c r="O109" i="1"/>
  <c r="N109" i="1"/>
  <c r="N112" i="1"/>
  <c r="N91" i="1"/>
  <c r="N84" i="1"/>
  <c r="O84" i="1"/>
  <c r="N102" i="1"/>
  <c r="N80" i="1"/>
  <c r="N101" i="1"/>
  <c r="N49" i="1"/>
  <c r="N70" i="1"/>
  <c r="N89" i="1"/>
  <c r="N99" i="1"/>
  <c r="N44" i="1"/>
  <c r="N94" i="1"/>
  <c r="N65" i="1"/>
  <c r="N90" i="1"/>
  <c r="N107" i="1"/>
  <c r="N113" i="1"/>
  <c r="N96" i="1"/>
  <c r="N95" i="1"/>
  <c r="N81" i="1"/>
  <c r="N53" i="1"/>
  <c r="N85" i="1"/>
  <c r="N105" i="1"/>
  <c r="N51" i="1"/>
  <c r="N67" i="1"/>
  <c r="N73" i="1"/>
  <c r="N68" i="1"/>
  <c r="N61" i="1"/>
  <c r="N43" i="1"/>
  <c r="N39" i="1"/>
  <c r="N83" i="1"/>
  <c r="N111" i="1"/>
  <c r="N48" i="1"/>
  <c r="N42" i="1"/>
  <c r="N100" i="1"/>
  <c r="O100" i="1"/>
  <c r="N60" i="1"/>
  <c r="M60" i="1" l="1"/>
  <c r="AA100" i="1"/>
  <c r="Z100" i="1"/>
  <c r="M100" i="1"/>
  <c r="M42" i="1"/>
  <c r="M48" i="1"/>
  <c r="M111" i="1"/>
  <c r="AA83" i="1"/>
  <c r="Z83" i="1"/>
  <c r="M83" i="1"/>
  <c r="M39" i="1"/>
  <c r="M43" i="1"/>
  <c r="M61" i="1"/>
  <c r="M68" i="1"/>
  <c r="M73" i="1"/>
  <c r="M67" i="1"/>
  <c r="M51" i="1"/>
  <c r="M105" i="1"/>
  <c r="Z85" i="1"/>
  <c r="M85" i="1"/>
  <c r="AA85" i="1"/>
  <c r="M53" i="1"/>
  <c r="M81" i="1"/>
  <c r="M95" i="1"/>
  <c r="M96" i="1"/>
  <c r="M113" i="1"/>
  <c r="M107" i="1"/>
  <c r="M90" i="1"/>
  <c r="M65" i="1"/>
  <c r="M94" i="1"/>
  <c r="M44" i="1"/>
  <c r="AA99" i="1"/>
  <c r="Z99" i="1"/>
  <c r="M99" i="1"/>
  <c r="M89" i="1"/>
  <c r="M70" i="1"/>
  <c r="M49" i="1"/>
  <c r="M101" i="1"/>
  <c r="M80" i="1"/>
  <c r="M102" i="1"/>
  <c r="AA84" i="1"/>
  <c r="Z84" i="1"/>
  <c r="M84" i="1"/>
  <c r="M91" i="1"/>
  <c r="M112" i="1"/>
  <c r="Z109" i="1"/>
  <c r="AA109" i="1"/>
  <c r="M109" i="1"/>
  <c r="M50" i="1"/>
  <c r="M78" i="1"/>
  <c r="M88" i="1"/>
  <c r="M54" i="1"/>
  <c r="M92" i="1"/>
  <c r="M64" i="1"/>
  <c r="M41" i="1"/>
  <c r="M62" i="1"/>
  <c r="AA62" i="1"/>
  <c r="Z62" i="1"/>
  <c r="Z58" i="1"/>
  <c r="M58" i="1"/>
  <c r="AA58" i="1"/>
  <c r="M79" i="1"/>
  <c r="M87" i="1"/>
  <c r="M104" i="1"/>
  <c r="M71" i="1"/>
  <c r="M63" i="1"/>
  <c r="AA63" i="1"/>
  <c r="Z63" i="1"/>
  <c r="M66" i="1"/>
  <c r="M76" i="1"/>
  <c r="M74" i="1"/>
  <c r="M40" i="1"/>
  <c r="AA108" i="1"/>
  <c r="M108" i="1"/>
  <c r="Z108" i="1"/>
  <c r="M46" i="1"/>
  <c r="M69" i="1"/>
  <c r="M56" i="1"/>
  <c r="M55" i="1"/>
  <c r="M52" i="1"/>
  <c r="AA114" i="1"/>
  <c r="M114" i="1"/>
  <c r="Z114" i="1"/>
  <c r="Z98" i="1"/>
  <c r="M98" i="1"/>
  <c r="AA98" i="1"/>
  <c r="M93" i="1"/>
  <c r="Z82" i="1"/>
  <c r="M82" i="1"/>
  <c r="AA82" i="1"/>
  <c r="M45" i="1"/>
  <c r="M47" i="1"/>
  <c r="AA37" i="1"/>
  <c r="M37" i="1"/>
  <c r="Z37" i="1"/>
  <c r="M86" i="1"/>
  <c r="M75" i="1"/>
  <c r="M72" i="1"/>
  <c r="M103" i="1"/>
  <c r="M77" i="1"/>
  <c r="AA59" i="1"/>
  <c r="Z59" i="1"/>
  <c r="M59" i="1"/>
  <c r="M38" i="1"/>
  <c r="AA38" i="1"/>
  <c r="Z38" i="1"/>
  <c r="Z57" i="1"/>
  <c r="M57" i="1"/>
  <c r="AA57" i="1"/>
  <c r="M110" i="1"/>
  <c r="M106" i="1"/>
  <c r="M97" i="1"/>
  <c r="V24" i="1"/>
  <c r="X24" i="1"/>
  <c r="Z24" i="1"/>
  <c r="AA24" i="1"/>
  <c r="X18" i="1"/>
  <c r="Z18" i="1"/>
  <c r="V20" i="1"/>
  <c r="Z20" i="1"/>
  <c r="AA20" i="1"/>
  <c r="X20" i="1"/>
  <c r="V22" i="1"/>
  <c r="X22" i="1"/>
  <c r="AA22" i="1"/>
  <c r="Z22" i="1"/>
  <c r="D24" i="2"/>
  <c r="D21" i="2"/>
  <c r="D18" i="2"/>
  <c r="D45" i="2"/>
  <c r="D42" i="2"/>
  <c r="D39" i="2"/>
  <c r="R124" i="1"/>
  <c r="R128" i="1"/>
  <c r="R125" i="1"/>
  <c r="R126" i="1"/>
  <c r="R127" i="1"/>
  <c r="R130" i="1"/>
  <c r="R131" i="1"/>
  <c r="R123" i="1"/>
  <c r="R132" i="1"/>
  <c r="M17" i="1" l="1"/>
  <c r="W22" i="1"/>
  <c r="W20" i="1"/>
  <c r="W24" i="1"/>
  <c r="T18" i="1"/>
  <c r="R18" i="1"/>
  <c r="P18" i="1"/>
  <c r="U18" i="1"/>
  <c r="Q18" i="1"/>
  <c r="S18" i="1"/>
  <c r="G25" i="1"/>
  <c r="G22" i="1"/>
  <c r="G23" i="1"/>
  <c r="G24" i="1"/>
  <c r="U23" i="1" s="1"/>
  <c r="Y33" i="1"/>
  <c r="U33" i="1"/>
  <c r="X33" i="1"/>
  <c r="AA33" i="1"/>
  <c r="W33" i="1"/>
  <c r="Z33" i="1"/>
  <c r="V33" i="1"/>
  <c r="AA23" i="1" l="1"/>
  <c r="X23" i="1"/>
  <c r="V23" i="1"/>
  <c r="W21" i="1"/>
  <c r="Z23" i="1"/>
  <c r="U22" i="1"/>
  <c r="R22" i="1"/>
  <c r="P22" i="1"/>
  <c r="S22" i="1"/>
  <c r="Q22" i="1"/>
  <c r="W23" i="1"/>
  <c r="U21" i="1"/>
  <c r="S21" i="1"/>
  <c r="R21" i="1"/>
  <c r="P21" i="1"/>
  <c r="Q21" i="1"/>
  <c r="P23" i="1"/>
  <c r="R23" i="1"/>
  <c r="Q23" i="1"/>
  <c r="S23" i="1"/>
  <c r="X39" i="1"/>
  <c r="X43" i="1"/>
  <c r="X47" i="1"/>
  <c r="X51" i="1"/>
  <c r="X55" i="1"/>
  <c r="X60" i="1"/>
  <c r="X64" i="1"/>
  <c r="X68" i="1"/>
  <c r="X72" i="1"/>
  <c r="X76" i="1"/>
  <c r="X80" i="1"/>
  <c r="X86" i="1"/>
  <c r="X90" i="1"/>
  <c r="X94" i="1"/>
  <c r="X98" i="1"/>
  <c r="X103" i="1"/>
  <c r="X107" i="1"/>
  <c r="X112" i="1"/>
  <c r="X40" i="1"/>
  <c r="X44" i="1"/>
  <c r="X48" i="1"/>
  <c r="X52" i="1"/>
  <c r="X56" i="1"/>
  <c r="X61" i="1"/>
  <c r="X65" i="1"/>
  <c r="X69" i="1"/>
  <c r="X73" i="1"/>
  <c r="X77" i="1"/>
  <c r="X81" i="1"/>
  <c r="X87" i="1"/>
  <c r="X91" i="1"/>
  <c r="X95" i="1"/>
  <c r="X100" i="1"/>
  <c r="X104" i="1"/>
  <c r="X109" i="1"/>
  <c r="X113" i="1"/>
  <c r="X37" i="1"/>
  <c r="X41" i="1"/>
  <c r="X45" i="1"/>
  <c r="X49" i="1"/>
  <c r="X53" i="1"/>
  <c r="X57" i="1"/>
  <c r="X62" i="1"/>
  <c r="X66" i="1"/>
  <c r="X70" i="1"/>
  <c r="X74" i="1"/>
  <c r="X78" i="1"/>
  <c r="X82" i="1"/>
  <c r="X88" i="1"/>
  <c r="X92" i="1"/>
  <c r="X96" i="1"/>
  <c r="X101" i="1"/>
  <c r="X105" i="1"/>
  <c r="X110" i="1"/>
  <c r="X38" i="1"/>
  <c r="X42" i="1"/>
  <c r="X46" i="1"/>
  <c r="X50" i="1"/>
  <c r="X54" i="1"/>
  <c r="X59" i="1"/>
  <c r="X63" i="1"/>
  <c r="X67" i="1"/>
  <c r="X71" i="1"/>
  <c r="X75" i="1"/>
  <c r="X79" i="1"/>
  <c r="X84" i="1"/>
  <c r="X89" i="1"/>
  <c r="X93" i="1"/>
  <c r="X97" i="1"/>
  <c r="X102" i="1"/>
  <c r="X106" i="1"/>
  <c r="X111" i="1"/>
  <c r="Y32" i="1"/>
  <c r="U32" i="1"/>
  <c r="X32" i="1"/>
  <c r="AA32" i="1"/>
  <c r="W32" i="1"/>
  <c r="Z32" i="1"/>
  <c r="V32" i="1"/>
  <c r="Q32" i="1"/>
  <c r="R31" i="1"/>
  <c r="R33" i="1"/>
  <c r="V37" i="1"/>
  <c r="V41" i="1"/>
  <c r="V45" i="1"/>
  <c r="V49" i="1"/>
  <c r="V53" i="1"/>
  <c r="V57" i="1"/>
  <c r="V62" i="1"/>
  <c r="V66" i="1"/>
  <c r="V70" i="1"/>
  <c r="V74" i="1"/>
  <c r="V78" i="1"/>
  <c r="V82" i="1"/>
  <c r="V88" i="1"/>
  <c r="V92" i="1"/>
  <c r="V96" i="1"/>
  <c r="V38" i="1"/>
  <c r="V42" i="1"/>
  <c r="V46" i="1"/>
  <c r="V50" i="1"/>
  <c r="V54" i="1"/>
  <c r="V59" i="1"/>
  <c r="V63" i="1"/>
  <c r="V67" i="1"/>
  <c r="V71" i="1"/>
  <c r="V75" i="1"/>
  <c r="V79" i="1"/>
  <c r="V84" i="1"/>
  <c r="V89" i="1"/>
  <c r="V93" i="1"/>
  <c r="V97" i="1"/>
  <c r="V102" i="1"/>
  <c r="V39" i="1"/>
  <c r="V43" i="1"/>
  <c r="V47" i="1"/>
  <c r="V51" i="1"/>
  <c r="V55" i="1"/>
  <c r="V60" i="1"/>
  <c r="V64" i="1"/>
  <c r="V68" i="1"/>
  <c r="V72" i="1"/>
  <c r="V76" i="1"/>
  <c r="V80" i="1"/>
  <c r="V86" i="1"/>
  <c r="V90" i="1"/>
  <c r="V94" i="1"/>
  <c r="V98" i="1"/>
  <c r="V40" i="1"/>
  <c r="V44" i="1"/>
  <c r="V48" i="1"/>
  <c r="V52" i="1"/>
  <c r="V56" i="1"/>
  <c r="V61" i="1"/>
  <c r="V65" i="1"/>
  <c r="V69" i="1"/>
  <c r="V73" i="1"/>
  <c r="V77" i="1"/>
  <c r="V81" i="1"/>
  <c r="V87" i="1"/>
  <c r="V91" i="1"/>
  <c r="V95" i="1"/>
  <c r="V100" i="1"/>
  <c r="V104" i="1"/>
  <c r="V105" i="1"/>
  <c r="V110" i="1"/>
  <c r="V106" i="1"/>
  <c r="V111" i="1"/>
  <c r="V101" i="1"/>
  <c r="V107" i="1"/>
  <c r="V112" i="1"/>
  <c r="V103" i="1"/>
  <c r="V109" i="1"/>
  <c r="V113" i="1"/>
  <c r="R32" i="1"/>
  <c r="P31" i="1"/>
  <c r="Q33" i="1"/>
  <c r="P33" i="1"/>
  <c r="P32" i="1"/>
  <c r="Y31" i="1"/>
  <c r="U31" i="1"/>
  <c r="X31" i="1"/>
  <c r="AA31" i="1"/>
  <c r="W31" i="1"/>
  <c r="Z31" i="1"/>
  <c r="V31" i="1"/>
  <c r="Q31" i="1"/>
  <c r="T33" i="1"/>
  <c r="S33" i="1"/>
  <c r="AA97" i="1"/>
  <c r="AA106" i="1"/>
  <c r="AA110" i="1"/>
  <c r="AA77" i="1"/>
  <c r="AA103" i="1"/>
  <c r="AA72" i="1"/>
  <c r="AA75" i="1"/>
  <c r="AA86" i="1"/>
  <c r="AA47" i="1"/>
  <c r="AA45" i="1"/>
  <c r="AA93" i="1"/>
  <c r="AA52" i="1"/>
  <c r="AA55" i="1"/>
  <c r="AA56" i="1"/>
  <c r="AA69" i="1"/>
  <c r="AA46" i="1"/>
  <c r="AA40" i="1"/>
  <c r="AA74" i="1"/>
  <c r="AA76" i="1"/>
  <c r="AA66" i="1"/>
  <c r="AA71" i="1"/>
  <c r="AA104" i="1"/>
  <c r="AA87" i="1"/>
  <c r="AA79" i="1"/>
  <c r="AA41" i="1"/>
  <c r="AA64" i="1"/>
  <c r="AA92" i="1"/>
  <c r="AA54" i="1"/>
  <c r="AA88" i="1"/>
  <c r="AA78" i="1"/>
  <c r="AA50" i="1"/>
  <c r="AA112" i="1"/>
  <c r="AA91" i="1"/>
  <c r="AA102" i="1"/>
  <c r="AA80" i="1"/>
  <c r="AA101" i="1"/>
  <c r="AA49" i="1"/>
  <c r="AA70" i="1"/>
  <c r="AA89" i="1"/>
  <c r="AA44" i="1"/>
  <c r="AA94" i="1"/>
  <c r="AA65" i="1"/>
  <c r="AA90" i="1"/>
  <c r="AA107" i="1"/>
  <c r="AA113" i="1"/>
  <c r="AA96" i="1"/>
  <c r="AA95" i="1"/>
  <c r="AA81" i="1"/>
  <c r="AA53" i="1"/>
  <c r="AA105" i="1"/>
  <c r="AA51" i="1"/>
  <c r="AA67" i="1"/>
  <c r="AA73" i="1"/>
  <c r="AA68" i="1"/>
  <c r="AA61" i="1"/>
  <c r="AA43" i="1"/>
  <c r="AA39" i="1"/>
  <c r="AA111" i="1"/>
  <c r="AA48" i="1"/>
  <c r="AA42" i="1"/>
  <c r="AA60" i="1"/>
  <c r="Z97" i="1"/>
  <c r="Z106" i="1"/>
  <c r="Z110" i="1"/>
  <c r="Z77" i="1"/>
  <c r="Z103" i="1"/>
  <c r="Z72" i="1"/>
  <c r="Z75" i="1"/>
  <c r="Z86" i="1"/>
  <c r="Z47" i="1"/>
  <c r="Z45" i="1"/>
  <c r="Z93" i="1"/>
  <c r="Z52" i="1"/>
  <c r="Z55" i="1"/>
  <c r="Z56" i="1"/>
  <c r="Z69" i="1"/>
  <c r="Z46" i="1"/>
  <c r="Z40" i="1"/>
  <c r="Z74" i="1"/>
  <c r="Z76" i="1"/>
  <c r="Z66" i="1"/>
  <c r="Z71" i="1"/>
  <c r="Z104" i="1"/>
  <c r="Z87" i="1"/>
  <c r="Z79" i="1"/>
  <c r="Z41" i="1"/>
  <c r="Z64" i="1"/>
  <c r="Z92" i="1"/>
  <c r="Z54" i="1"/>
  <c r="Z88" i="1"/>
  <c r="Z78" i="1"/>
  <c r="Z50" i="1"/>
  <c r="Z112" i="1"/>
  <c r="Z91" i="1"/>
  <c r="Z102" i="1"/>
  <c r="Z80" i="1"/>
  <c r="Z101" i="1"/>
  <c r="Z49" i="1"/>
  <c r="Z70" i="1"/>
  <c r="Z89" i="1"/>
  <c r="Z44" i="1"/>
  <c r="Z94" i="1"/>
  <c r="Z65" i="1"/>
  <c r="Z90" i="1"/>
  <c r="Z107" i="1"/>
  <c r="Z113" i="1"/>
  <c r="Z96" i="1"/>
  <c r="Z95" i="1"/>
  <c r="Z81" i="1"/>
  <c r="Z53" i="1"/>
  <c r="Z105" i="1"/>
  <c r="Z51" i="1"/>
  <c r="Z67" i="1"/>
  <c r="Z73" i="1"/>
  <c r="Z68" i="1"/>
  <c r="Z61" i="1"/>
  <c r="Z43" i="1"/>
  <c r="Z39" i="1"/>
  <c r="Z111" i="1"/>
  <c r="Z48" i="1"/>
  <c r="Z42" i="1"/>
  <c r="Z60" i="1"/>
  <c r="T32" i="1"/>
  <c r="S32" i="1"/>
  <c r="T31" i="1"/>
  <c r="S31" i="1"/>
  <c r="W113" i="1" l="1"/>
  <c r="W109" i="1"/>
  <c r="W103" i="1"/>
  <c r="W112" i="1"/>
  <c r="W107" i="1"/>
  <c r="W101" i="1"/>
  <c r="W111" i="1"/>
  <c r="W106" i="1"/>
  <c r="W110" i="1"/>
  <c r="W105" i="1"/>
  <c r="W104" i="1"/>
  <c r="W100" i="1"/>
  <c r="W95" i="1"/>
  <c r="W91" i="1"/>
  <c r="W87" i="1"/>
  <c r="W81" i="1"/>
  <c r="W77" i="1"/>
  <c r="W73" i="1"/>
  <c r="W69" i="1"/>
  <c r="W65" i="1"/>
  <c r="W61" i="1"/>
  <c r="W56" i="1"/>
  <c r="W52" i="1"/>
  <c r="W48" i="1"/>
  <c r="W44" i="1"/>
  <c r="W40" i="1"/>
  <c r="W98" i="1"/>
  <c r="W94" i="1"/>
  <c r="W90" i="1"/>
  <c r="W86" i="1"/>
  <c r="W80" i="1"/>
  <c r="W76" i="1"/>
  <c r="W72" i="1"/>
  <c r="W68" i="1"/>
  <c r="W64" i="1"/>
  <c r="V83" i="1"/>
  <c r="W83" i="1" s="1"/>
  <c r="W60" i="1"/>
  <c r="W55" i="1"/>
  <c r="W51" i="1"/>
  <c r="W47" i="1"/>
  <c r="W43" i="1"/>
  <c r="W39" i="1"/>
  <c r="V58" i="1"/>
  <c r="W102" i="1"/>
  <c r="W97" i="1"/>
  <c r="W93" i="1"/>
  <c r="W89" i="1"/>
  <c r="W84" i="1"/>
  <c r="W79" i="1"/>
  <c r="W75" i="1"/>
  <c r="W71" i="1"/>
  <c r="W67" i="1"/>
  <c r="W63" i="1"/>
  <c r="W59" i="1"/>
  <c r="W54" i="1"/>
  <c r="W50" i="1"/>
  <c r="W46" i="1"/>
  <c r="W42" i="1"/>
  <c r="W38" i="1"/>
  <c r="W96" i="1"/>
  <c r="W92" i="1"/>
  <c r="W88" i="1"/>
  <c r="W82" i="1"/>
  <c r="W78" i="1"/>
  <c r="W74" i="1"/>
  <c r="W70" i="1"/>
  <c r="W66" i="1"/>
  <c r="W62" i="1"/>
  <c r="W57" i="1"/>
  <c r="W53" i="1"/>
  <c r="W49" i="1"/>
  <c r="W45" i="1"/>
  <c r="W41" i="1"/>
  <c r="W37" i="1"/>
  <c r="Y111" i="1"/>
  <c r="Y106" i="1"/>
  <c r="Y102" i="1"/>
  <c r="Y97" i="1"/>
  <c r="Y93" i="1"/>
  <c r="Y89" i="1"/>
  <c r="Y84" i="1"/>
  <c r="Y79" i="1"/>
  <c r="Y75" i="1"/>
  <c r="Y71" i="1"/>
  <c r="Y67" i="1"/>
  <c r="Y63" i="1"/>
  <c r="Y59" i="1"/>
  <c r="Y54" i="1"/>
  <c r="Y50" i="1"/>
  <c r="Y46" i="1"/>
  <c r="Y42" i="1"/>
  <c r="Y38" i="1"/>
  <c r="Y110" i="1"/>
  <c r="Y105" i="1"/>
  <c r="Y101" i="1"/>
  <c r="Y96" i="1"/>
  <c r="Y92" i="1"/>
  <c r="Y88" i="1"/>
  <c r="Y82" i="1"/>
  <c r="Y78" i="1"/>
  <c r="Y74" i="1"/>
  <c r="Y70" i="1"/>
  <c r="Y66" i="1"/>
  <c r="Y62" i="1"/>
  <c r="Y57" i="1"/>
  <c r="Y53" i="1"/>
  <c r="Y49" i="1"/>
  <c r="Y45" i="1"/>
  <c r="Y41" i="1"/>
  <c r="Y37" i="1"/>
  <c r="Y113" i="1"/>
  <c r="Y109" i="1"/>
  <c r="Y104" i="1"/>
  <c r="Y100" i="1"/>
  <c r="Y95" i="1"/>
  <c r="Y91" i="1"/>
  <c r="Y87" i="1"/>
  <c r="Y81" i="1"/>
  <c r="Y77" i="1"/>
  <c r="Y73" i="1"/>
  <c r="Y69" i="1"/>
  <c r="Y65" i="1"/>
  <c r="Y61" i="1"/>
  <c r="Y56" i="1"/>
  <c r="Y52" i="1"/>
  <c r="Y48" i="1"/>
  <c r="Y44" i="1"/>
  <c r="Y40" i="1"/>
  <c r="Y112" i="1"/>
  <c r="Y107" i="1"/>
  <c r="Y103" i="1"/>
  <c r="Y98" i="1"/>
  <c r="Y94" i="1"/>
  <c r="Y90" i="1"/>
  <c r="Y86" i="1"/>
  <c r="Y80" i="1"/>
  <c r="Y76" i="1"/>
  <c r="Y72" i="1"/>
  <c r="Y68" i="1"/>
  <c r="X83" i="1"/>
  <c r="Y83" i="1" s="1"/>
  <c r="Y64" i="1"/>
  <c r="Y60" i="1"/>
  <c r="Y55" i="1"/>
  <c r="Y51" i="1"/>
  <c r="Y47" i="1"/>
  <c r="Y43" i="1"/>
  <c r="X58" i="1"/>
  <c r="Y39" i="1"/>
  <c r="V85" i="1" l="1"/>
  <c r="W58" i="1"/>
  <c r="Y58" i="1"/>
  <c r="X85" i="1"/>
  <c r="X99" i="1" l="1"/>
  <c r="Y85" i="1"/>
  <c r="V99" i="1"/>
  <c r="W85" i="1"/>
  <c r="V108" i="1" l="1"/>
  <c r="W99" i="1"/>
  <c r="X108" i="1"/>
  <c r="Y99" i="1"/>
  <c r="X114" i="1" l="1"/>
  <c r="Y114" i="1" s="1"/>
  <c r="Y108" i="1"/>
  <c r="V114" i="1"/>
  <c r="W114" i="1" s="1"/>
  <c r="W108" i="1"/>
</calcChain>
</file>

<file path=xl/comments1.xml><?xml version="1.0" encoding="utf-8"?>
<comments xmlns="http://schemas.openxmlformats.org/spreadsheetml/2006/main">
  <authors>
    <author>Hannu Aalto</author>
  </authors>
  <commentList>
    <comment ref="D86" authorId="0" shapeId="0">
      <text>
        <r>
          <rPr>
            <sz val="9"/>
            <color indexed="81"/>
            <rFont val="Tahoma"/>
            <family val="2"/>
          </rPr>
          <t>#NEW_LOCALMEMBER|LocalMember:Tili2</t>
        </r>
      </text>
    </comment>
    <comment ref="D89" authorId="0" shapeId="0">
      <text>
        <r>
          <rPr>
            <sz val="9"/>
            <color indexed="81"/>
            <rFont val="Tahoma"/>
            <family val="2"/>
          </rPr>
          <t>#NEW_LOCALMEMBER|LocalMember:TiliKuvaus</t>
        </r>
      </text>
    </comment>
    <comment ref="D113" authorId="0" shapeId="0">
      <text>
        <r>
          <rPr>
            <sz val="9"/>
            <color indexed="81"/>
            <rFont val="Tahoma"/>
            <family val="2"/>
          </rPr>
          <t>#NEW_MULTIPLECRITERIA||#NEW_LOCALMEMBER|LocalMember:pkgetdata||#NEW_LOCALMEMBER|LocalMember:TOIMINTATULOTTYHT</t>
        </r>
      </text>
    </comment>
    <comment ref="D116" authorId="0" shapeId="0">
      <text>
        <r>
          <rPr>
            <sz val="9"/>
            <color indexed="81"/>
            <rFont val="Tahoma"/>
            <family val="2"/>
          </rPr>
          <t>#NEW_MULTIPLECRITERIA||#NEW_LOCALMEMBER|LocalMember:tot_enn_getdata||#NEW_LOCALMEMBER|LocalMember:TOIMINTATULOTTYHT</t>
        </r>
      </text>
    </comment>
    <comment ref="D119" authorId="0" shapeId="0">
      <text>
        <r>
          <rPr>
            <sz val="9"/>
            <color indexed="81"/>
            <rFont val="Tahoma"/>
            <family val="2"/>
          </rPr>
          <t>#NEW_MULTIPLECRITERIA||#NEW_LOCALMEMBER|LocalMember:pkgetdata||#NEW_LOCALMEMBER|LocalMember:TOIMINTAMENOTYHT</t>
        </r>
      </text>
    </comment>
    <comment ref="D122" authorId="0" shapeId="0">
      <text>
        <r>
          <rPr>
            <sz val="9"/>
            <color indexed="81"/>
            <rFont val="Tahoma"/>
            <family val="2"/>
          </rPr>
          <t>#NEW_MULTIPLECRITERIA||#NEW_LOCALMEMBER|LocalMember:tot_enn_getdata||#NEW_LOCALMEMBER|LocalMember:TOIMINTAMENOTYHT</t>
        </r>
      </text>
    </comment>
    <comment ref="D125" authorId="0" shapeId="0">
      <text>
        <r>
          <rPr>
            <sz val="9"/>
            <color indexed="81"/>
            <rFont val="Tahoma"/>
            <family val="2"/>
          </rPr>
          <t>#NEW_MULTIPLECRITERIA||#NEW_LOCALMEMBER|LocalMember:pkgetdata||#NEW_LOCALMEMBER|LocalMember:TOIMINTAKATE</t>
        </r>
      </text>
    </comment>
    <comment ref="D128" authorId="0" shapeId="0">
      <text>
        <r>
          <rPr>
            <sz val="9"/>
            <color indexed="81"/>
            <rFont val="Tahoma"/>
            <family val="2"/>
          </rPr>
          <t>#NEW_MULTIPLECRITERIA||#NEW_LOCALMEMBER|LocalMember:tot_enn_getdata||#NEW_LOCALMEMBER|LocalMember:TOIMINTAKATE</t>
        </r>
      </text>
    </comment>
    <comment ref="D131" authorId="0" shapeId="0">
      <text>
        <r>
          <rPr>
            <sz val="9"/>
            <color indexed="81"/>
            <rFont val="Tahoma"/>
            <family val="2"/>
          </rPr>
          <t>#NEW_MULTIPLECRITERIA||#NEW_LOCALMEMBER|LocalMember:pkgetdata||#NEW_LOCALMEMBER|LocalMember:VUOSIKATE</t>
        </r>
      </text>
    </comment>
    <comment ref="D134" authorId="0" shapeId="0">
      <text>
        <r>
          <rPr>
            <sz val="9"/>
            <color indexed="81"/>
            <rFont val="Tahoma"/>
            <family val="2"/>
          </rPr>
          <t>#NEW_MULTIPLECRITERIA||#NEW_LOCALMEMBER|LocalMember:tot_enn_getdata||#NEW_LOCALMEMBER|LocalMember:VUOSIKATE</t>
        </r>
      </text>
    </comment>
    <comment ref="D137" authorId="0" shapeId="0">
      <text>
        <r>
          <rPr>
            <sz val="9"/>
            <color indexed="81"/>
            <rFont val="Tahoma"/>
            <family val="2"/>
          </rPr>
          <t>#NEW_MULTIPLECRITERIA||#NEW_LOCALMEMBER|LocalMember:pkgetdata||#NEW_LOCALMEMBER|LocalMember:TILIKAUDENTULOS</t>
        </r>
      </text>
    </comment>
    <comment ref="D140" authorId="0" shapeId="0">
      <text>
        <r>
          <rPr>
            <sz val="9"/>
            <color indexed="81"/>
            <rFont val="Tahoma"/>
            <family val="2"/>
          </rPr>
          <t>#NEW_MULTIPLECRITERIA||#NEW_LOCALMEMBER|LocalMember:tot_enn_getdata||#NEW_LOCALMEMBER|LocalMember:TILIKAUDENTULOS</t>
        </r>
      </text>
    </comment>
    <comment ref="D143" authorId="0" shapeId="0">
      <text>
        <r>
          <rPr>
            <sz val="9"/>
            <color indexed="81"/>
            <rFont val="Tahoma"/>
            <family val="2"/>
          </rPr>
          <t>#NEW_MULTIPLECRITERIA||#NEW_LOCALMEMBER|LocalMember:pkgetdata||#NEW_LOCALMEMBER|LocalMember:YLIJAAMA</t>
        </r>
      </text>
    </comment>
    <comment ref="D146" authorId="0" shapeId="0">
      <text>
        <r>
          <rPr>
            <sz val="9"/>
            <color indexed="81"/>
            <rFont val="Tahoma"/>
            <family val="2"/>
          </rPr>
          <t>#NEW_MULTIPLECRITERIA||#NEW_LOCALMEMBER|LocalMember:tot_enn_getdata||#NEW_LOCALMEMBER|LocalMember:YLIJAAMA</t>
        </r>
      </text>
    </comment>
  </commentList>
</comments>
</file>

<file path=xl/sharedStrings.xml><?xml version="1.0" encoding="utf-8"?>
<sst xmlns="http://schemas.openxmlformats.org/spreadsheetml/2006/main" count="526" uniqueCount="235">
  <si>
    <t>App</t>
  </si>
  <si>
    <t>TKU_MÄÄRÄRAHA</t>
  </si>
  <si>
    <t>AIKA</t>
  </si>
  <si>
    <t>KUMPPANI</t>
  </si>
  <si>
    <t>KUSTANNUSPAIKKA</t>
  </si>
  <si>
    <t>MEASURES</t>
  </si>
  <si>
    <t>TILAUS</t>
  </si>
  <si>
    <t>TILI</t>
  </si>
  <si>
    <t>TOIMINTOALUE</t>
  </si>
  <si>
    <t>TYYPPI</t>
  </si>
  <si>
    <t>VERSIO</t>
  </si>
  <si>
    <t>YRITYS</t>
  </si>
  <si>
    <t>KÄYTTÄJÄ</t>
  </si>
  <si>
    <t>aika</t>
  </si>
  <si>
    <t>Aika</t>
  </si>
  <si>
    <t>Versio</t>
  </si>
  <si>
    <t>Tyyppi</t>
  </si>
  <si>
    <t>TOTminus1</t>
  </si>
  <si>
    <t>TA</t>
  </si>
  <si>
    <t>TA_muutos</t>
  </si>
  <si>
    <t>TA_siirto</t>
  </si>
  <si>
    <t>PK</t>
  </si>
  <si>
    <t>TOT</t>
  </si>
  <si>
    <t>TOIMINTATUOTOT</t>
  </si>
  <si>
    <t>Maksutuotot (329999-329999)</t>
  </si>
  <si>
    <t>Tuet ja avustukset (330000-339999)</t>
  </si>
  <si>
    <t>Vuokratuotot (340000-349999)</t>
  </si>
  <si>
    <t>Muut toimintatuotot (350000-359999)</t>
  </si>
  <si>
    <t>Valmistus omaan käyttöön (370000-379999)</t>
  </si>
  <si>
    <t>Henkilöstökulut (400000-429999)</t>
  </si>
  <si>
    <t>Palveluiden ostot (430000-449999)</t>
  </si>
  <si>
    <t>Aineet, tarvikkeet ja tavarat (450000-469999)</t>
  </si>
  <si>
    <t>Avustukset (470000-479999)</t>
  </si>
  <si>
    <t>Muut toimintakulut (480000-499999)</t>
  </si>
  <si>
    <t>Verotulot</t>
  </si>
  <si>
    <t>Satunnaiset tuotot ja kulut (800000-819999)</t>
  </si>
  <si>
    <t>Varausten ja rahastojen muutokset (850000-879999)</t>
  </si>
  <si>
    <t>TOIMINTATULOT YHTEENSÄ</t>
  </si>
  <si>
    <t>EPM-muotoilutaulukko</t>
  </si>
  <si>
    <t>Huomautus: Alaosan muotoiluasetukset ohittavat yläosan muotoiluasetukset ristiriitatilanteessa.</t>
  </si>
  <si>
    <t>Hierarkiatason muotoilu</t>
  </si>
  <si>
    <t>Tiedot</t>
  </si>
  <si>
    <t>Käytä</t>
  </si>
  <si>
    <t>Ylätunniste</t>
  </si>
  <si>
    <t>Rivi</t>
  </si>
  <si>
    <t>Oletusmuoto</t>
  </si>
  <si>
    <t>10 000</t>
  </si>
  <si>
    <t>All</t>
  </si>
  <si>
    <t>Otsikko</t>
  </si>
  <si>
    <t>Perustason muoto</t>
  </si>
  <si>
    <t>Tietyn tason muotoilu:</t>
  </si>
  <si>
    <t>Sarake</t>
  </si>
  <si>
    <t>Ulottuvuuden jäsenen/ominaisuuden muotoilu</t>
  </si>
  <si>
    <t>Mukautetun jäsenen oletusmuoto</t>
  </si>
  <si>
    <t>Lasketun jäsenen oletusmuoto</t>
  </si>
  <si>
    <t>Syötettävän jäsenen oletusmuoto</t>
  </si>
  <si>
    <t>Paikallisen jäsenen oletusmuoto</t>
  </si>
  <si>
    <t>Muutetun jäsenen oletusmuoto</t>
  </si>
  <si>
    <t>Tietyn jäsenen/ominaisuuden muotoilu:</t>
  </si>
  <si>
    <t>Rivien ja sarakkeiden vuorovärisyys</t>
  </si>
  <si>
    <t>Parittomien muotoilu</t>
  </si>
  <si>
    <t>Parillisten muotoilu</t>
  </si>
  <si>
    <t>Sivuakselin muotoilu</t>
  </si>
  <si>
    <t>Tietyn ulottuvuuden muotoilu:</t>
  </si>
  <si>
    <t>Ohje</t>
  </si>
  <si>
    <t>Muotoilu ja "Käytä"-sarake:</t>
  </si>
  <si>
    <t>Sisempi tai ulompi ulottuvuus</t>
  </si>
  <si>
    <t xml:space="preserve">Määritä "1000"- ja "Otsikko"-soluissa haluamasi muoto käyttämällä Microsoft Office Excelin normaaleja solunmuotoilutoimintoja._x000D_
Oletusarvoisesti kaikkia muotoiluasetuksia käytetään ja "Käytä"-sarakkeessa on arvo "KAIKKI"._x000D_
_x000D_
Voit sen jälkeen valita, mitä määritetyn muodon asetuksia haluat käyttää, tai määrittää lisäasetuksia. Kaksoisnapsauta tällöin "Käytä"-solua ja määritä muotoiluasetukset avautuvassa valintaikkunassa tai kirjoita muotoiluasetukset suoraan "Käytä"-soluun käyttäen tiettyä syntaksia, esimerkiksi (FontBold = Y) | (FontSize = 18)._x000D_
		</t>
  </si>
  <si>
    <t>Etusija rivillä tai sarakkeella</t>
  </si>
  <si>
    <t>Näiden asetusten avulla voit määrittää, mitä määritetyistä rivi- tai sarakemuodoista käytetään ensin ristiriitatilanteissa. Kun napsautat "Etusija sarakkeella" -asetusta, "Sarake"-osa näkyy muotoiluosassa ensin ja "Rivi"-osa näkyy toisena, ja järjestelmä käyttää etusijasääntöjä.</t>
  </si>
  <si>
    <t>Jos rivi- tai sarakeakseli sisältää useamman kuin yhden ulottuvuuden, voit määrittää ulottuvuuden, jossa määritettyä muotoa käytetään. "Sisempi ulottuvuus" on akselin viimeinen ulottuvuus ja "Ulompi ulottuvuus" on akselin ensimmäinen ulottuvuus.</t>
  </si>
  <si>
    <t>Version_1_1</t>
  </si>
  <si>
    <t>Myyntituotot (300000-319999)</t>
  </si>
  <si>
    <t>TOIMINTAMENOT</t>
  </si>
  <si>
    <t>TOIMINTAMENOT YHTEENSÄ</t>
  </si>
  <si>
    <t>TOIMINTAKATE</t>
  </si>
  <si>
    <t>VUOSIKATE</t>
  </si>
  <si>
    <t>TILIKAUDEN TULOS</t>
  </si>
  <si>
    <t>TILIKAUDEN YLIJÄÄMÄ/ALIJÄÄMÄ</t>
  </si>
  <si>
    <t>None</t>
  </si>
  <si>
    <t>Tili2</t>
  </si>
  <si>
    <t>Kumppani</t>
  </si>
  <si>
    <t>kumppani</t>
  </si>
  <si>
    <t>Kustannuspaikka</t>
  </si>
  <si>
    <t>toimielin/TA</t>
  </si>
  <si>
    <t>Tilaus</t>
  </si>
  <si>
    <t>Toimintoalue</t>
  </si>
  <si>
    <t>TILAUS:YHTEENSA</t>
  </si>
  <si>
    <t>TOIMINTOALUE:YHT</t>
  </si>
  <si>
    <t>toimintoalue</t>
  </si>
  <si>
    <t>tilaus</t>
  </si>
  <si>
    <t>TOT_1</t>
  </si>
  <si>
    <t>vuosisyöttö</t>
  </si>
  <si>
    <t>Oikaistu toteuma</t>
  </si>
  <si>
    <t>Ero</t>
  </si>
  <si>
    <t>TOT_ENN</t>
  </si>
  <si>
    <t xml:space="preserve">
</t>
  </si>
  <si>
    <t>TiliKuvaus</t>
  </si>
  <si>
    <t>Content</t>
  </si>
  <si>
    <t>A000</t>
  </si>
  <si>
    <t/>
  </si>
  <si>
    <t>1000500A</t>
  </si>
  <si>
    <t>500000</t>
  </si>
  <si>
    <t>510000</t>
  </si>
  <si>
    <t>520000</t>
  </si>
  <si>
    <t>530000</t>
  </si>
  <si>
    <t>300_R</t>
  </si>
  <si>
    <t>30_R</t>
  </si>
  <si>
    <t>308_R</t>
  </si>
  <si>
    <t>313_R</t>
  </si>
  <si>
    <t>310_R</t>
  </si>
  <si>
    <t>32_R</t>
  </si>
  <si>
    <t>320_R</t>
  </si>
  <si>
    <t>321_R</t>
  </si>
  <si>
    <t>325_R</t>
  </si>
  <si>
    <t>327_R</t>
  </si>
  <si>
    <t>328_R</t>
  </si>
  <si>
    <t>329_R</t>
  </si>
  <si>
    <t>33_R</t>
  </si>
  <si>
    <t>330_R</t>
  </si>
  <si>
    <t>34_R</t>
  </si>
  <si>
    <t>340_R</t>
  </si>
  <si>
    <t>35_R</t>
  </si>
  <si>
    <t>350_R</t>
  </si>
  <si>
    <t>37_R</t>
  </si>
  <si>
    <t>370_R</t>
  </si>
  <si>
    <t>40_R</t>
  </si>
  <si>
    <t>400_R</t>
  </si>
  <si>
    <t>410_R</t>
  </si>
  <si>
    <t>415_R</t>
  </si>
  <si>
    <t>423_R</t>
  </si>
  <si>
    <t>43_R</t>
  </si>
  <si>
    <t>430_R</t>
  </si>
  <si>
    <t>434_R</t>
  </si>
  <si>
    <t>45_R</t>
  </si>
  <si>
    <t>450_R</t>
  </si>
  <si>
    <t>467_R</t>
  </si>
  <si>
    <t>47_R</t>
  </si>
  <si>
    <t>470_R</t>
  </si>
  <si>
    <t>474_R</t>
  </si>
  <si>
    <t>475_R</t>
  </si>
  <si>
    <t>48_R</t>
  </si>
  <si>
    <t>480_R</t>
  </si>
  <si>
    <t>490_R</t>
  </si>
  <si>
    <t>550_R</t>
  </si>
  <si>
    <t>60_R</t>
  </si>
  <si>
    <t>600_R</t>
  </si>
  <si>
    <t>610_R</t>
  </si>
  <si>
    <t>620_R</t>
  </si>
  <si>
    <t>630_R</t>
  </si>
  <si>
    <t>630200_R</t>
  </si>
  <si>
    <t>70_R</t>
  </si>
  <si>
    <t>723_R</t>
  </si>
  <si>
    <t>720_R</t>
  </si>
  <si>
    <t>710_R</t>
  </si>
  <si>
    <t>80_R</t>
  </si>
  <si>
    <t>800_R</t>
  </si>
  <si>
    <t>810_R</t>
  </si>
  <si>
    <t>85_R</t>
  </si>
  <si>
    <t>850_R</t>
  </si>
  <si>
    <t>860_R</t>
  </si>
  <si>
    <t>870_R</t>
  </si>
  <si>
    <t>Liiketoiminnan myyntituotot</t>
  </si>
  <si>
    <t>Täyden korv.perust.saadut korv.valtiolta</t>
  </si>
  <si>
    <t>Korvaukset kunnilta ja kuntayhtymiltä</t>
  </si>
  <si>
    <t>Muut suoritteiden myyntituotot</t>
  </si>
  <si>
    <t>Yleishallinnon maksut</t>
  </si>
  <si>
    <t>Terveydenhuollon maksut</t>
  </si>
  <si>
    <t>Sosiaalitoimen maksut</t>
  </si>
  <si>
    <t>Opetus- ja kulttuuritoimen maksut</t>
  </si>
  <si>
    <t>Yhdyskuntapalvelujen maksut</t>
  </si>
  <si>
    <t>Muut palvelumaksut</t>
  </si>
  <si>
    <t>Tuet ja avustukset</t>
  </si>
  <si>
    <t>Vuokratuotot</t>
  </si>
  <si>
    <t>Muut toimintatuotot</t>
  </si>
  <si>
    <t>Valmistus omaan käyttöön</t>
  </si>
  <si>
    <t>Palkat ja palkkiot</t>
  </si>
  <si>
    <t>Eläkekulut</t>
  </si>
  <si>
    <t>Muut henkilöstösivukulut</t>
  </si>
  <si>
    <t>Hlöstökorvaukset &amp; -menojen korjauserät</t>
  </si>
  <si>
    <t>Asiakaspalvelujen ostot</t>
  </si>
  <si>
    <t>Muiden palvelujen ostot</t>
  </si>
  <si>
    <t>Ostot tilikauden aikana</t>
  </si>
  <si>
    <t>Varastojen lisäys / vähennys</t>
  </si>
  <si>
    <t>Avustukset yksityisille</t>
  </si>
  <si>
    <t>Avustukset yhteisöille</t>
  </si>
  <si>
    <t>Avustukset taseyksiköille</t>
  </si>
  <si>
    <t>Vuokrat</t>
  </si>
  <si>
    <t>Muut toimintakulut</t>
  </si>
  <si>
    <t>Kunnan tulovero</t>
  </si>
  <si>
    <t>Kiinteistövero</t>
  </si>
  <si>
    <t>Osuus yhteisöveron tuotosta</t>
  </si>
  <si>
    <t>Koiravero</t>
  </si>
  <si>
    <t>Valtionosuudet</t>
  </si>
  <si>
    <t>Rahoitustuotot ja -kulut</t>
  </si>
  <si>
    <t>Korkotuotot</t>
  </si>
  <si>
    <t>Muut rahoitustuotot</t>
  </si>
  <si>
    <t>Korkokulut</t>
  </si>
  <si>
    <t>Muut rahoituskulut</t>
  </si>
  <si>
    <t>Liikelaitoksen korvaus peruspääomasta (k</t>
  </si>
  <si>
    <t>Poistot ja arvonalentumiset</t>
  </si>
  <si>
    <t>Suunnitelman mukaiset poistot</t>
  </si>
  <si>
    <t>Kertaluonteiset poistot</t>
  </si>
  <si>
    <t>Arvonalentumiset</t>
  </si>
  <si>
    <t>Satunnaiset tuotot</t>
  </si>
  <si>
    <t>Satunnaiset kulut</t>
  </si>
  <si>
    <t>Poistoeron muutos</t>
  </si>
  <si>
    <t>Varausten muutos</t>
  </si>
  <si>
    <t>Rahastojen muutos</t>
  </si>
  <si>
    <t>pkgetdata||TOIMINTATULOTTYHT</t>
  </si>
  <si>
    <t>=V39+V44+V51+V53+V55</t>
  </si>
  <si>
    <t>=X39+X44+X51+X53+X55</t>
  </si>
  <si>
    <t>tot_enn_getdata||TOIMINTATULOTTYHT</t>
  </si>
  <si>
    <t>pkgetdata||TOIMINTAMENOTYHT</t>
  </si>
  <si>
    <t>tot_enn_getdata||TOIMINTAMENOTYHT</t>
  </si>
  <si>
    <t>=V64+V69+V72+V75+V79</t>
  </si>
  <si>
    <t>=X64+X69+X72+X75+X79</t>
  </si>
  <si>
    <t>pkgetdata||TOIMINTAKATE</t>
  </si>
  <si>
    <t>tot_enn_getdata||TOIMINTAKATE</t>
  </si>
  <si>
    <t>=V58+V60-V83</t>
  </si>
  <si>
    <t>=X58+X60-X83</t>
  </si>
  <si>
    <t>pkgetdata||VUOSIKATE</t>
  </si>
  <si>
    <t>tot_enn_getdata||VUOSIKATE</t>
  </si>
  <si>
    <t>=V85+V86+V91+V92</t>
  </si>
  <si>
    <t>=X85+X86+X91+X92</t>
  </si>
  <si>
    <t>pkgetdata||TILIKAUDENTULOS</t>
  </si>
  <si>
    <t>tot_enn_getdata||TILIKAUDENTULOS</t>
  </si>
  <si>
    <t>=V99-V101+V105</t>
  </si>
  <si>
    <t>=X99-X101+X105</t>
  </si>
  <si>
    <t>pkgetdata||YLIJAAMA</t>
  </si>
  <si>
    <t>tot_enn_getdata||YLIJAAMA</t>
  </si>
  <si>
    <t>=V108+V110</t>
  </si>
  <si>
    <t>=X108+X110</t>
  </si>
  <si>
    <t>ENN-TA</t>
  </si>
  <si>
    <t>TA-ENN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</si>
</sst>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4"/>
      <color rgb="FFFFA500"/>
      <name val="Arial"/>
      <family val="2"/>
    </font>
    <font>
      <b/>
      <sz val="10"/>
      <color theme="1"/>
      <name val="Arial"/>
      <family val="2"/>
    </font>
    <font>
      <b/>
      <sz val="16"/>
      <color rgb="FFFFFFFF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FFFF"/>
      <name val="Arial"/>
      <family val="2"/>
    </font>
    <font>
      <sz val="8"/>
      <color rgb="FF000000"/>
      <name val="Segoe UI"/>
      <family val="2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i/>
      <sz val="10"/>
      <color theme="1"/>
      <name val="Arial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" fillId="10" borderId="36" applyNumberFormat="0" applyFont="0" applyAlignment="0" applyProtection="0"/>
    <xf numFmtId="9" fontId="1" fillId="0" borderId="0" applyFont="0" applyFill="0" applyBorder="0" applyAlignment="0" applyProtection="0"/>
  </cellStyleXfs>
  <cellXfs count="188">
    <xf numFmtId="0" fontId="0" fillId="0" borderId="0" xfId="0"/>
    <xf numFmtId="0" fontId="3" fillId="0" borderId="0" xfId="0" applyFont="1" applyAlignment="1" applyProtection="1">
      <alignment horizontal="left" indent="10"/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5" borderId="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1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5" borderId="22" xfId="0" applyFont="1" applyFill="1" applyBorder="1" applyAlignment="1">
      <alignment horizontal="center" vertical="center"/>
    </xf>
    <xf numFmtId="0" fontId="3" fillId="1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>
      <alignment horizontal="center"/>
    </xf>
    <xf numFmtId="0" fontId="9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 indent="2"/>
    </xf>
    <xf numFmtId="0" fontId="9" fillId="0" borderId="0" xfId="0" applyFont="1" applyBorder="1" applyAlignment="1">
      <alignment horizontal="left" vertical="center" indent="3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1" borderId="26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7" borderId="4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1" fillId="0" borderId="13" xfId="0" applyFont="1" applyBorder="1"/>
    <xf numFmtId="0" fontId="10" fillId="0" borderId="13" xfId="0" applyFont="1" applyBorder="1" applyAlignment="1">
      <alignment horizontal="left" vertical="center"/>
    </xf>
    <xf numFmtId="0" fontId="10" fillId="0" borderId="13" xfId="0" applyFont="1" applyBorder="1" applyAlignment="1" applyProtection="1">
      <alignment horizontal="left" vertical="center"/>
      <protection locked="0"/>
    </xf>
    <xf numFmtId="0" fontId="11" fillId="0" borderId="9" xfId="0" applyFont="1" applyBorder="1"/>
    <xf numFmtId="0" fontId="12" fillId="0" borderId="0" xfId="0" applyFont="1" applyAlignment="1">
      <alignment horizont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3" fillId="0" borderId="13" xfId="0" applyFont="1" applyBorder="1" applyAlignment="1">
      <alignment horizontal="center"/>
    </xf>
    <xf numFmtId="0" fontId="3" fillId="0" borderId="8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center" indent="4"/>
    </xf>
    <xf numFmtId="0" fontId="3" fillId="1" borderId="0" xfId="0" applyFont="1" applyFill="1" applyBorder="1" applyAlignment="1" applyProtection="1">
      <alignment horizontal="right" vertical="center"/>
      <protection locked="0"/>
    </xf>
    <xf numFmtId="0" fontId="3" fillId="1" borderId="0" xfId="0" applyFont="1" applyFill="1" applyBorder="1" applyAlignment="1" applyProtection="1">
      <alignment horizontal="left" vertical="center"/>
      <protection locked="0"/>
    </xf>
    <xf numFmtId="0" fontId="9" fillId="0" borderId="10" xfId="0" applyFont="1" applyBorder="1" applyAlignment="1">
      <alignment horizontal="left" vertical="center" indent="3"/>
    </xf>
    <xf numFmtId="0" fontId="3" fillId="1" borderId="1" xfId="0" applyFont="1" applyFill="1" applyBorder="1" applyAlignment="1" applyProtection="1">
      <alignment horizontal="righ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1" borderId="1" xfId="0" applyFont="1" applyFill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center" indent="5"/>
    </xf>
    <xf numFmtId="0" fontId="9" fillId="0" borderId="10" xfId="0" applyFont="1" applyBorder="1" applyAlignment="1">
      <alignment horizontal="left" vertical="center" indent="4"/>
    </xf>
    <xf numFmtId="0" fontId="9" fillId="0" borderId="0" xfId="0" applyFont="1" applyBorder="1" applyAlignment="1">
      <alignment horizontal="left" vertical="center" indent="6"/>
    </xf>
    <xf numFmtId="0" fontId="9" fillId="0" borderId="10" xfId="0" applyFont="1" applyBorder="1" applyAlignment="1">
      <alignment horizontal="left" vertical="center" indent="5"/>
    </xf>
    <xf numFmtId="0" fontId="9" fillId="0" borderId="0" xfId="0" applyFont="1" applyBorder="1" applyAlignment="1">
      <alignment horizontal="left" vertical="center" indent="7"/>
    </xf>
    <xf numFmtId="0" fontId="9" fillId="0" borderId="10" xfId="0" applyFont="1" applyBorder="1" applyAlignment="1">
      <alignment horizontal="left" vertical="center" indent="6"/>
    </xf>
    <xf numFmtId="0" fontId="6" fillId="0" borderId="10" xfId="0" applyFont="1" applyBorder="1" applyAlignment="1">
      <alignment horizontal="left" vertical="center"/>
    </xf>
    <xf numFmtId="0" fontId="17" fillId="0" borderId="0" xfId="0" quotePrefix="1" applyFont="1" applyBorder="1" applyAlignment="1">
      <alignment horizontal="left" vertical="center"/>
    </xf>
    <xf numFmtId="0" fontId="3" fillId="0" borderId="13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3" fillId="0" borderId="23" xfId="0" applyFont="1" applyBorder="1" applyAlignment="1">
      <alignment horizontal="center"/>
    </xf>
    <xf numFmtId="0" fontId="3" fillId="0" borderId="8" xfId="0" applyFont="1" applyBorder="1" applyAlignment="1" applyProtection="1">
      <alignment horizontal="left" vertical="center"/>
      <protection locked="0"/>
    </xf>
    <xf numFmtId="3" fontId="2" fillId="12" borderId="38" xfId="1" applyNumberFormat="1" applyFont="1" applyFill="1" applyBorder="1" applyAlignment="1" applyProtection="1">
      <alignment horizontal="right"/>
      <protection locked="0"/>
    </xf>
    <xf numFmtId="3" fontId="3" fillId="13" borderId="0" xfId="0" applyNumberFormat="1" applyFont="1" applyFill="1" applyBorder="1" applyAlignment="1" applyProtection="1">
      <alignment horizontal="right" vertical="center"/>
      <protection locked="0"/>
    </xf>
    <xf numFmtId="3" fontId="3" fillId="3" borderId="0" xfId="0" applyNumberFormat="1" applyFont="1" applyFill="1" applyBorder="1" applyAlignment="1" applyProtection="1">
      <alignment horizontal="right" vertical="center"/>
      <protection locked="0"/>
    </xf>
    <xf numFmtId="3" fontId="19" fillId="3" borderId="0" xfId="3" applyNumberFormat="1" applyFont="1" applyFill="1" applyBorder="1" applyAlignment="1" applyProtection="1">
      <alignment horizontal="left" vertical="center"/>
      <protection locked="0"/>
    </xf>
    <xf numFmtId="3" fontId="20" fillId="3" borderId="36" xfId="4" applyNumberFormat="1" applyFont="1" applyFill="1" applyAlignment="1" applyProtection="1">
      <alignment horizontal="left" vertical="center"/>
      <protection locked="0"/>
    </xf>
    <xf numFmtId="3" fontId="3" fillId="3" borderId="0" xfId="0" applyNumberFormat="1" applyFont="1" applyFill="1" applyBorder="1" applyAlignment="1" applyProtection="1">
      <alignment horizontal="left" vertical="center"/>
      <protection locked="0"/>
    </xf>
    <xf numFmtId="3" fontId="4" fillId="3" borderId="0" xfId="0" applyNumberFormat="1" applyFont="1" applyFill="1" applyBorder="1" applyAlignment="1" applyProtection="1">
      <alignment horizontal="right" vertical="center"/>
      <protection locked="0"/>
    </xf>
    <xf numFmtId="3" fontId="4" fillId="3" borderId="1" xfId="0" applyNumberFormat="1" applyFont="1" applyFill="1" applyBorder="1" applyAlignment="1" applyProtection="1">
      <alignment horizontal="right" vertical="center"/>
      <protection locked="0"/>
    </xf>
    <xf numFmtId="3" fontId="3" fillId="3" borderId="1" xfId="0" applyNumberFormat="1" applyFont="1" applyFill="1" applyBorder="1" applyAlignment="1" applyProtection="1">
      <alignment horizontal="right" vertical="center"/>
      <protection locked="0"/>
    </xf>
    <xf numFmtId="3" fontId="20" fillId="3" borderId="0" xfId="2" applyNumberFormat="1" applyFont="1" applyFill="1" applyBorder="1" applyAlignment="1" applyProtection="1">
      <alignment horizontal="right" vertical="center"/>
      <protection locked="0"/>
    </xf>
    <xf numFmtId="0" fontId="21" fillId="3" borderId="0" xfId="0" quotePrefix="1" applyFont="1" applyFill="1" applyAlignment="1">
      <alignment wrapText="1"/>
    </xf>
    <xf numFmtId="0" fontId="21" fillId="3" borderId="0" xfId="0" applyFont="1" applyFill="1"/>
    <xf numFmtId="0" fontId="22" fillId="0" borderId="0" xfId="0" applyFont="1" applyFill="1" applyBorder="1"/>
    <xf numFmtId="0" fontId="21" fillId="3" borderId="1" xfId="0" applyFont="1" applyFill="1" applyBorder="1"/>
    <xf numFmtId="0" fontId="22" fillId="3" borderId="1" xfId="0" applyFont="1" applyFill="1" applyBorder="1" applyAlignment="1">
      <alignment horizontal="center" vertical="top"/>
    </xf>
    <xf numFmtId="0" fontId="22" fillId="3" borderId="1" xfId="0" applyFont="1" applyFill="1" applyBorder="1" applyAlignment="1">
      <alignment horizontal="center" vertical="top" wrapText="1"/>
    </xf>
    <xf numFmtId="49" fontId="23" fillId="2" borderId="0" xfId="0" applyNumberFormat="1" applyFont="1" applyFill="1" applyAlignment="1">
      <alignment horizontal="left"/>
    </xf>
    <xf numFmtId="49" fontId="21" fillId="2" borderId="0" xfId="0" applyNumberFormat="1" applyFont="1" applyFill="1" applyAlignment="1">
      <alignment horizontal="left"/>
    </xf>
    <xf numFmtId="49" fontId="23" fillId="3" borderId="0" xfId="0" applyNumberFormat="1" applyFont="1" applyFill="1" applyAlignment="1">
      <alignment horizontal="left"/>
    </xf>
    <xf numFmtId="49" fontId="21" fillId="3" borderId="0" xfId="0" applyNumberFormat="1" applyFont="1" applyFill="1" applyAlignment="1">
      <alignment horizontal="left"/>
    </xf>
    <xf numFmtId="0" fontId="24" fillId="3" borderId="0" xfId="0" applyNumberFormat="1" applyFont="1" applyFill="1" applyBorder="1" applyAlignment="1" applyProtection="1">
      <alignment horizontal="left" vertical="center"/>
      <protection locked="0"/>
    </xf>
    <xf numFmtId="3" fontId="24" fillId="3" borderId="0" xfId="0" applyNumberFormat="1" applyFont="1" applyFill="1" applyBorder="1" applyAlignment="1" applyProtection="1">
      <alignment horizontal="right" vertical="center"/>
      <protection locked="0"/>
    </xf>
    <xf numFmtId="3" fontId="25" fillId="3" borderId="0" xfId="0" applyNumberFormat="1" applyFont="1" applyFill="1" applyBorder="1" applyAlignment="1" applyProtection="1">
      <alignment horizontal="right" vertical="center"/>
      <protection locked="0"/>
    </xf>
    <xf numFmtId="3" fontId="25" fillId="3" borderId="0" xfId="0" applyNumberFormat="1" applyFont="1" applyFill="1" applyBorder="1" applyAlignment="1" applyProtection="1">
      <alignment horizontal="left" vertical="center"/>
      <protection locked="0"/>
    </xf>
    <xf numFmtId="3" fontId="26" fillId="3" borderId="0" xfId="0" applyNumberFormat="1" applyFont="1" applyFill="1" applyBorder="1" applyAlignment="1" applyProtection="1">
      <alignment horizontal="right" vertical="center"/>
      <protection locked="0"/>
    </xf>
    <xf numFmtId="0" fontId="21" fillId="2" borderId="0" xfId="0" applyFont="1" applyFill="1"/>
    <xf numFmtId="3" fontId="25" fillId="3" borderId="1" xfId="0" applyNumberFormat="1" applyFont="1" applyFill="1" applyBorder="1" applyAlignment="1" applyProtection="1">
      <alignment horizontal="right" vertical="center"/>
      <protection locked="0"/>
    </xf>
    <xf numFmtId="3" fontId="25" fillId="3" borderId="1" xfId="0" applyNumberFormat="1" applyFont="1" applyFill="1" applyBorder="1" applyAlignment="1" applyProtection="1">
      <alignment horizontal="left" vertical="center"/>
      <protection locked="0"/>
    </xf>
    <xf numFmtId="3" fontId="27" fillId="3" borderId="0" xfId="2" applyNumberFormat="1" applyFont="1" applyFill="1" applyBorder="1" applyAlignment="1" applyProtection="1">
      <alignment horizontal="right" vertical="center"/>
      <protection locked="0"/>
    </xf>
    <xf numFmtId="3" fontId="27" fillId="3" borderId="0" xfId="2" applyNumberFormat="1" applyFont="1" applyFill="1" applyBorder="1" applyAlignment="1" applyProtection="1">
      <alignment horizontal="left" vertical="center"/>
      <protection locked="0"/>
    </xf>
    <xf numFmtId="3" fontId="27" fillId="3" borderId="0" xfId="2" applyNumberFormat="1" applyFont="1" applyFill="1" applyBorder="1" applyAlignment="1" applyProtection="1">
      <alignment horizontal="left" vertical="center" indent="3"/>
      <protection locked="0"/>
    </xf>
    <xf numFmtId="3" fontId="28" fillId="11" borderId="0" xfId="1" applyNumberFormat="1" applyFont="1" applyFill="1" applyBorder="1" applyAlignment="1" applyProtection="1">
      <alignment horizontal="right"/>
      <protection locked="0"/>
    </xf>
    <xf numFmtId="3" fontId="28" fillId="11" borderId="0" xfId="1" applyNumberFormat="1" applyFont="1" applyFill="1" applyBorder="1" applyAlignment="1" applyProtection="1">
      <alignment horizontal="left"/>
      <protection locked="0"/>
    </xf>
    <xf numFmtId="3" fontId="24" fillId="3" borderId="1" xfId="0" applyNumberFormat="1" applyFont="1" applyFill="1" applyBorder="1" applyAlignment="1" applyProtection="1">
      <alignment horizontal="right" vertical="center"/>
      <protection locked="0"/>
    </xf>
    <xf numFmtId="3" fontId="24" fillId="3" borderId="1" xfId="0" applyNumberFormat="1" applyFont="1" applyFill="1" applyBorder="1" applyAlignment="1" applyProtection="1">
      <alignment horizontal="left" vertical="center"/>
      <protection locked="0"/>
    </xf>
    <xf numFmtId="3" fontId="24" fillId="3" borderId="1" xfId="0" applyNumberFormat="1" applyFont="1" applyFill="1" applyBorder="1" applyAlignment="1" applyProtection="1">
      <alignment horizontal="left" vertical="center" indent="3"/>
      <protection locked="0"/>
    </xf>
    <xf numFmtId="3" fontId="29" fillId="11" borderId="37" xfId="1" applyNumberFormat="1" applyFont="1" applyFill="1" applyBorder="1" applyAlignment="1" applyProtection="1">
      <alignment horizontal="right"/>
      <protection locked="0"/>
    </xf>
    <xf numFmtId="3" fontId="29" fillId="11" borderId="37" xfId="1" applyNumberFormat="1" applyFont="1" applyFill="1" applyBorder="1" applyAlignment="1" applyProtection="1">
      <alignment horizontal="left"/>
      <protection locked="0"/>
    </xf>
    <xf numFmtId="3" fontId="29" fillId="11" borderId="0" xfId="1" applyNumberFormat="1" applyFont="1" applyFill="1" applyBorder="1" applyAlignment="1" applyProtection="1">
      <alignment horizontal="right"/>
      <protection locked="0"/>
    </xf>
    <xf numFmtId="3" fontId="24" fillId="3" borderId="0" xfId="0" applyNumberFormat="1" applyFont="1" applyFill="1" applyBorder="1" applyAlignment="1" applyProtection="1">
      <alignment horizontal="left" vertical="center"/>
      <protection locked="0"/>
    </xf>
    <xf numFmtId="3" fontId="24" fillId="3" borderId="0" xfId="0" applyNumberFormat="1" applyFont="1" applyFill="1" applyBorder="1" applyAlignment="1" applyProtection="1">
      <alignment horizontal="left" vertical="center" indent="3"/>
      <protection locked="0"/>
    </xf>
    <xf numFmtId="0" fontId="30" fillId="3" borderId="0" xfId="0" applyFont="1" applyFill="1"/>
    <xf numFmtId="0" fontId="0" fillId="15" borderId="0" xfId="0" applyFill="1" applyProtection="1"/>
    <xf numFmtId="3" fontId="26" fillId="3" borderId="1" xfId="0" applyNumberFormat="1" applyFont="1" applyFill="1" applyBorder="1" applyAlignment="1" applyProtection="1">
      <alignment horizontal="left" vertical="center"/>
      <protection locked="0"/>
    </xf>
    <xf numFmtId="3" fontId="27" fillId="3" borderId="39" xfId="2" applyNumberFormat="1" applyFont="1" applyFill="1" applyBorder="1" applyAlignment="1" applyProtection="1">
      <alignment horizontal="right" vertical="center"/>
      <protection locked="0"/>
    </xf>
    <xf numFmtId="3" fontId="27" fillId="14" borderId="41" xfId="2" applyNumberFormat="1" applyFont="1" applyFill="1" applyBorder="1" applyAlignment="1" applyProtection="1">
      <alignment horizontal="right" vertical="center"/>
      <protection locked="0"/>
    </xf>
    <xf numFmtId="3" fontId="27" fillId="3" borderId="40" xfId="2" applyNumberFormat="1" applyFont="1" applyFill="1" applyBorder="1" applyAlignment="1" applyProtection="1">
      <alignment horizontal="right" vertical="center"/>
      <protection locked="0"/>
    </xf>
    <xf numFmtId="3" fontId="27" fillId="14" borderId="42" xfId="2" applyNumberFormat="1" applyFont="1" applyFill="1" applyBorder="1" applyAlignment="1" applyProtection="1">
      <alignment horizontal="right" vertical="center"/>
      <protection locked="0"/>
    </xf>
    <xf numFmtId="3" fontId="27" fillId="14" borderId="43" xfId="2" applyNumberFormat="1" applyFont="1" applyFill="1" applyBorder="1" applyAlignment="1" applyProtection="1">
      <alignment horizontal="right" vertical="center"/>
      <protection locked="0"/>
    </xf>
    <xf numFmtId="3" fontId="27" fillId="3" borderId="47" xfId="2" applyNumberFormat="1" applyFont="1" applyFill="1" applyBorder="1" applyAlignment="1" applyProtection="1">
      <alignment horizontal="right" vertical="center"/>
      <protection locked="0"/>
    </xf>
    <xf numFmtId="3" fontId="27" fillId="3" borderId="48" xfId="2" applyNumberFormat="1" applyFont="1" applyFill="1" applyBorder="1" applyAlignment="1" applyProtection="1">
      <alignment horizontal="right" vertical="center"/>
      <protection locked="0"/>
    </xf>
    <xf numFmtId="3" fontId="27" fillId="14" borderId="49" xfId="2" applyNumberFormat="1" applyFont="1" applyFill="1" applyBorder="1" applyAlignment="1" applyProtection="1">
      <alignment horizontal="right" vertical="center"/>
      <protection locked="0"/>
    </xf>
    <xf numFmtId="3" fontId="27" fillId="14" borderId="50" xfId="2" applyNumberFormat="1" applyFont="1" applyFill="1" applyBorder="1" applyAlignment="1" applyProtection="1">
      <alignment horizontal="right" vertical="center"/>
      <protection locked="0"/>
    </xf>
    <xf numFmtId="3" fontId="27" fillId="14" borderId="52" xfId="2" applyNumberFormat="1" applyFont="1" applyFill="1" applyBorder="1" applyAlignment="1" applyProtection="1">
      <alignment horizontal="right" vertical="center"/>
      <protection locked="0"/>
    </xf>
    <xf numFmtId="3" fontId="25" fillId="3" borderId="51" xfId="0" applyNumberFormat="1" applyFont="1" applyFill="1" applyBorder="1" applyAlignment="1" applyProtection="1">
      <alignment horizontal="right" vertical="center"/>
      <protection locked="0"/>
    </xf>
    <xf numFmtId="3" fontId="24" fillId="3" borderId="53" xfId="0" applyNumberFormat="1" applyFont="1" applyFill="1" applyBorder="1" applyAlignment="1" applyProtection="1">
      <alignment horizontal="right" vertical="center"/>
      <protection locked="0"/>
    </xf>
    <xf numFmtId="3" fontId="24" fillId="14" borderId="42" xfId="0" applyNumberFormat="1" applyFont="1" applyFill="1" applyBorder="1" applyAlignment="1" applyProtection="1">
      <alignment horizontal="right" vertical="center"/>
      <protection locked="0"/>
    </xf>
    <xf numFmtId="3" fontId="24" fillId="3" borderId="45" xfId="0" applyNumberFormat="1" applyFont="1" applyFill="1" applyBorder="1" applyAlignment="1" applyProtection="1">
      <alignment horizontal="right" vertical="center"/>
      <protection locked="0"/>
    </xf>
    <xf numFmtId="3" fontId="24" fillId="3" borderId="40" xfId="0" applyNumberFormat="1" applyFont="1" applyFill="1" applyBorder="1" applyAlignment="1" applyProtection="1">
      <alignment horizontal="right" vertical="center"/>
      <protection locked="0"/>
    </xf>
    <xf numFmtId="3" fontId="24" fillId="14" borderId="49" xfId="0" applyNumberFormat="1" applyFont="1" applyFill="1" applyBorder="1" applyAlignment="1" applyProtection="1">
      <alignment horizontal="right" vertical="center"/>
      <protection locked="0"/>
    </xf>
    <xf numFmtId="3" fontId="24" fillId="3" borderId="39" xfId="0" applyNumberFormat="1" applyFont="1" applyFill="1" applyBorder="1" applyAlignment="1" applyProtection="1">
      <alignment horizontal="right" vertical="center"/>
      <protection locked="0"/>
    </xf>
    <xf numFmtId="3" fontId="24" fillId="14" borderId="43" xfId="0" applyNumberFormat="1" applyFont="1" applyFill="1" applyBorder="1" applyAlignment="1" applyProtection="1">
      <alignment horizontal="right" vertical="center"/>
      <protection locked="0"/>
    </xf>
    <xf numFmtId="3" fontId="24" fillId="3" borderId="48" xfId="0" applyNumberFormat="1" applyFont="1" applyFill="1" applyBorder="1" applyAlignment="1" applyProtection="1">
      <alignment horizontal="right" vertical="center"/>
      <protection locked="0"/>
    </xf>
    <xf numFmtId="3" fontId="24" fillId="3" borderId="47" xfId="0" applyNumberFormat="1" applyFont="1" applyFill="1" applyBorder="1" applyAlignment="1" applyProtection="1">
      <alignment horizontal="right" vertical="center"/>
      <protection locked="0"/>
    </xf>
    <xf numFmtId="3" fontId="24" fillId="3" borderId="54" xfId="0" applyNumberFormat="1" applyFont="1" applyFill="1" applyBorder="1" applyAlignment="1" applyProtection="1">
      <alignment horizontal="right" vertical="center"/>
      <protection locked="0"/>
    </xf>
    <xf numFmtId="3" fontId="24" fillId="14" borderId="44" xfId="0" applyNumberFormat="1" applyFont="1" applyFill="1" applyBorder="1" applyAlignment="1" applyProtection="1">
      <alignment horizontal="right" vertical="center"/>
      <protection locked="0"/>
    </xf>
    <xf numFmtId="3" fontId="24" fillId="3" borderId="46" xfId="0" applyNumberFormat="1" applyFont="1" applyFill="1" applyBorder="1" applyAlignment="1" applyProtection="1">
      <alignment horizontal="right" vertical="center"/>
      <protection locked="0"/>
    </xf>
    <xf numFmtId="0" fontId="3" fillId="0" borderId="13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3" fillId="0" borderId="23" xfId="0" applyFont="1" applyBorder="1" applyAlignment="1">
      <alignment horizontal="center"/>
    </xf>
    <xf numFmtId="0" fontId="3" fillId="0" borderId="8" xfId="0" applyFont="1" applyBorder="1" applyAlignment="1" applyProtection="1">
      <alignment horizontal="left" vertical="center"/>
      <protection locked="0"/>
    </xf>
    <xf numFmtId="0" fontId="25" fillId="3" borderId="0" xfId="0" applyNumberFormat="1" applyFont="1" applyFill="1" applyBorder="1" applyAlignment="1" applyProtection="1">
      <alignment horizontal="left" vertical="center" indent="3"/>
      <protection locked="0"/>
    </xf>
    <xf numFmtId="0" fontId="24" fillId="3" borderId="0" xfId="0" applyNumberFormat="1" applyFont="1" applyFill="1" applyBorder="1" applyAlignment="1" applyProtection="1">
      <alignment horizontal="left" vertical="center" indent="3"/>
      <protection locked="0"/>
    </xf>
    <xf numFmtId="0" fontId="24" fillId="3" borderId="0" xfId="0" applyNumberFormat="1" applyFont="1" applyFill="1" applyBorder="1" applyAlignment="1" applyProtection="1">
      <alignment horizontal="left" vertical="center" indent="4"/>
      <protection locked="0"/>
    </xf>
    <xf numFmtId="0" fontId="25" fillId="3" borderId="0" xfId="0" applyNumberFormat="1" applyFont="1" applyFill="1" applyBorder="1" applyAlignment="1" applyProtection="1">
      <alignment horizontal="left" vertical="center" indent="2"/>
      <protection locked="0"/>
    </xf>
    <xf numFmtId="0" fontId="24" fillId="3" borderId="0" xfId="0" applyNumberFormat="1" applyFont="1" applyFill="1" applyBorder="1" applyAlignment="1" applyProtection="1">
      <alignment horizontal="left" vertical="center" indent="2"/>
      <protection locked="0"/>
    </xf>
    <xf numFmtId="0" fontId="24" fillId="3" borderId="1" xfId="0" applyNumberFormat="1" applyFont="1" applyFill="1" applyBorder="1" applyAlignment="1" applyProtection="1">
      <alignment horizontal="left" vertical="center" indent="2"/>
      <protection locked="0"/>
    </xf>
    <xf numFmtId="3" fontId="31" fillId="3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1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8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0" fontId="20" fillId="0" borderId="0" xfId="0" quotePrefix="1" applyFont="1" applyFill="1" applyBorder="1" applyAlignment="1" applyProtection="1">
      <alignment horizontal="right" vertical="center"/>
      <protection locked="0"/>
    </xf>
    <xf numFmtId="0" fontId="0" fillId="2" borderId="0" xfId="0" applyFont="1" applyFill="1"/>
    <xf numFmtId="0" fontId="31" fillId="0" borderId="0" xfId="0" applyFont="1" applyFill="1" applyBorder="1" applyAlignment="1" applyProtection="1">
      <alignment horizontal="right" vertical="center"/>
      <protection locked="0"/>
    </xf>
    <xf numFmtId="3" fontId="20" fillId="3" borderId="1" xfId="0" applyNumberFormat="1" applyFont="1" applyFill="1" applyBorder="1" applyAlignment="1" applyProtection="1">
      <alignment horizontal="left" vertical="center"/>
      <protection locked="0"/>
    </xf>
    <xf numFmtId="9" fontId="0" fillId="2" borderId="0" xfId="5" applyFont="1" applyFill="1" applyAlignment="1">
      <alignment horizontal="center"/>
    </xf>
    <xf numFmtId="0" fontId="0" fillId="3" borderId="0" xfId="0" applyFont="1" applyFill="1"/>
    <xf numFmtId="0" fontId="11" fillId="0" borderId="13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5" borderId="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8" fillId="6" borderId="19" xfId="0" applyFont="1" applyFill="1" applyBorder="1" applyAlignment="1" applyProtection="1">
      <alignment horizontal="center" vertical="center"/>
      <protection hidden="1"/>
    </xf>
    <xf numFmtId="0" fontId="8" fillId="6" borderId="21" xfId="0" applyFont="1" applyFill="1" applyBorder="1" applyAlignment="1" applyProtection="1">
      <alignment horizontal="center" vertical="center"/>
      <protection hidden="1"/>
    </xf>
    <xf numFmtId="0" fontId="8" fillId="6" borderId="35" xfId="0" applyFont="1" applyFill="1" applyBorder="1" applyAlignment="1" applyProtection="1">
      <alignment horizontal="center" vertical="center"/>
      <protection hidden="1"/>
    </xf>
    <xf numFmtId="0" fontId="3" fillId="6" borderId="13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>
      <alignment horizontal="center"/>
    </xf>
    <xf numFmtId="0" fontId="8" fillId="6" borderId="24" xfId="0" applyFont="1" applyFill="1" applyBorder="1" applyAlignment="1" applyProtection="1">
      <alignment horizontal="center" vertical="center"/>
      <protection hidden="1"/>
    </xf>
    <xf numFmtId="0" fontId="7" fillId="4" borderId="3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8" fillId="6" borderId="29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locked="0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3" fillId="0" borderId="17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left" vertical="center"/>
    </xf>
  </cellXfs>
  <cellStyles count="6">
    <cellStyle name="Huomautus" xfId="4" builtinId="10"/>
    <cellStyle name="Hyvä" xfId="2" builtinId="26"/>
    <cellStyle name="Neutraali" xfId="3" builtinId="28"/>
    <cellStyle name="Normaali" xfId="0" builtinId="0"/>
    <cellStyle name="Normal 3" xfId="1"/>
    <cellStyle name="Prosentti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Button" lockText="1"/>
</file>

<file path=xl/ctrlProps/ctrlProp101.xml><?xml version="1.0" encoding="utf-8"?>
<formControlPr xmlns="http://schemas.microsoft.com/office/spreadsheetml/2009/9/main" objectType="Button" lockText="1"/>
</file>

<file path=xl/ctrlProps/ctrlProp102.xml><?xml version="1.0" encoding="utf-8"?>
<formControlPr xmlns="http://schemas.microsoft.com/office/spreadsheetml/2009/9/main" objectType="Button" lockText="1"/>
</file>

<file path=xl/ctrlProps/ctrlProp103.xml><?xml version="1.0" encoding="utf-8"?>
<formControlPr xmlns="http://schemas.microsoft.com/office/spreadsheetml/2009/9/main" objectType="Button" lockText="1"/>
</file>

<file path=xl/ctrlProps/ctrlProp104.xml><?xml version="1.0" encoding="utf-8"?>
<formControlPr xmlns="http://schemas.microsoft.com/office/spreadsheetml/2009/9/main" objectType="Button" lockText="1"/>
</file>

<file path=xl/ctrlProps/ctrlProp105.xml><?xml version="1.0" encoding="utf-8"?>
<formControlPr xmlns="http://schemas.microsoft.com/office/spreadsheetml/2009/9/main" objectType="Button" lockText="1"/>
</file>

<file path=xl/ctrlProps/ctrlProp106.xml><?xml version="1.0" encoding="utf-8"?>
<formControlPr xmlns="http://schemas.microsoft.com/office/spreadsheetml/2009/9/main" objectType="Button" lockText="1"/>
</file>

<file path=xl/ctrlProps/ctrlProp107.xml><?xml version="1.0" encoding="utf-8"?>
<formControlPr xmlns="http://schemas.microsoft.com/office/spreadsheetml/2009/9/main" objectType="Button" lockText="1"/>
</file>

<file path=xl/ctrlProps/ctrlProp108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Label" lockText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firstButton="1" lockText="1" noThreeD="1"/>
</file>

<file path=xl/ctrlProps/ctrlProp20.xml><?xml version="1.0" encoding="utf-8"?>
<formControlPr xmlns="http://schemas.microsoft.com/office/spreadsheetml/2009/9/main" objectType="Radio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checked="Checked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Radio" firstButton="1" lockText="1" noThreeD="1"/>
</file>

<file path=xl/ctrlProps/ctrlProp45.xml><?xml version="1.0" encoding="utf-8"?>
<formControlPr xmlns="http://schemas.microsoft.com/office/spreadsheetml/2009/9/main" objectType="Radio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Radio" checked="Checked" firstButton="1" fmlaLink="AA1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 lockText="1"/>
</file>

<file path=xl/ctrlProps/ctrlProp62.xml><?xml version="1.0" encoding="utf-8"?>
<formControlPr xmlns="http://schemas.microsoft.com/office/spreadsheetml/2009/9/main" objectType="Button" lockText="1"/>
</file>

<file path=xl/ctrlProps/ctrlProp63.xml><?xml version="1.0" encoding="utf-8"?>
<formControlPr xmlns="http://schemas.microsoft.com/office/spreadsheetml/2009/9/main" objectType="Button" lockText="1"/>
</file>

<file path=xl/ctrlProps/ctrlProp64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Button" lockText="1"/>
</file>

<file path=xl/ctrlProps/ctrlProp66.xml><?xml version="1.0" encoding="utf-8"?>
<formControlPr xmlns="http://schemas.microsoft.com/office/spreadsheetml/2009/9/main" objectType="Button" lockText="1"/>
</file>

<file path=xl/ctrlProps/ctrlProp67.xml><?xml version="1.0" encoding="utf-8"?>
<formControlPr xmlns="http://schemas.microsoft.com/office/spreadsheetml/2009/9/main" objectType="Button" lockText="1"/>
</file>

<file path=xl/ctrlProps/ctrlProp68.xml><?xml version="1.0" encoding="utf-8"?>
<formControlPr xmlns="http://schemas.microsoft.com/office/spreadsheetml/2009/9/main" objectType="Button" lockText="1"/>
</file>

<file path=xl/ctrlProps/ctrlProp69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CheckBox" fmlaLink="AB1" lockText="1" noThreeD="1"/>
</file>

<file path=xl/ctrlProps/ctrlProp70.xml><?xml version="1.0" encoding="utf-8"?>
<formControlPr xmlns="http://schemas.microsoft.com/office/spreadsheetml/2009/9/main" objectType="Button" lockText="1"/>
</file>

<file path=xl/ctrlProps/ctrlProp71.xml><?xml version="1.0" encoding="utf-8"?>
<formControlPr xmlns="http://schemas.microsoft.com/office/spreadsheetml/2009/9/main" objectType="Button" lockText="1"/>
</file>

<file path=xl/ctrlProps/ctrlProp72.xml><?xml version="1.0" encoding="utf-8"?>
<formControlPr xmlns="http://schemas.microsoft.com/office/spreadsheetml/2009/9/main" objectType="Button" lockText="1"/>
</file>

<file path=xl/ctrlProps/ctrlProp73.xml><?xml version="1.0" encoding="utf-8"?>
<formControlPr xmlns="http://schemas.microsoft.com/office/spreadsheetml/2009/9/main" objectType="Button" lockText="1"/>
</file>

<file path=xl/ctrlProps/ctrlProp74.xml><?xml version="1.0" encoding="utf-8"?>
<formControlPr xmlns="http://schemas.microsoft.com/office/spreadsheetml/2009/9/main" objectType="Button" lockText="1"/>
</file>

<file path=xl/ctrlProps/ctrlProp75.xml><?xml version="1.0" encoding="utf-8"?>
<formControlPr xmlns="http://schemas.microsoft.com/office/spreadsheetml/2009/9/main" objectType="Button" lockText="1"/>
</file>

<file path=xl/ctrlProps/ctrlProp76.xml><?xml version="1.0" encoding="utf-8"?>
<formControlPr xmlns="http://schemas.microsoft.com/office/spreadsheetml/2009/9/main" objectType="Button" lockText="1"/>
</file>

<file path=xl/ctrlProps/ctrlProp77.xml><?xml version="1.0" encoding="utf-8"?>
<formControlPr xmlns="http://schemas.microsoft.com/office/spreadsheetml/2009/9/main" objectType="Button" lockText="1"/>
</file>

<file path=xl/ctrlProps/ctrlProp78.xml><?xml version="1.0" encoding="utf-8"?>
<formControlPr xmlns="http://schemas.microsoft.com/office/spreadsheetml/2009/9/main" objectType="Button" lockText="1"/>
</file>

<file path=xl/ctrlProps/ctrlProp79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Label" lockText="1"/>
</file>

<file path=xl/ctrlProps/ctrlProp80.xml><?xml version="1.0" encoding="utf-8"?>
<formControlPr xmlns="http://schemas.microsoft.com/office/spreadsheetml/2009/9/main" objectType="Button" lockText="1"/>
</file>

<file path=xl/ctrlProps/ctrlProp81.xml><?xml version="1.0" encoding="utf-8"?>
<formControlPr xmlns="http://schemas.microsoft.com/office/spreadsheetml/2009/9/main" objectType="Button" lockText="1"/>
</file>

<file path=xl/ctrlProps/ctrlProp82.xml><?xml version="1.0" encoding="utf-8"?>
<formControlPr xmlns="http://schemas.microsoft.com/office/spreadsheetml/2009/9/main" objectType="Button" lockText="1"/>
</file>

<file path=xl/ctrlProps/ctrlProp83.xml><?xml version="1.0" encoding="utf-8"?>
<formControlPr xmlns="http://schemas.microsoft.com/office/spreadsheetml/2009/9/main" objectType="Button" lockText="1"/>
</file>

<file path=xl/ctrlProps/ctrlProp84.xml><?xml version="1.0" encoding="utf-8"?>
<formControlPr xmlns="http://schemas.microsoft.com/office/spreadsheetml/2009/9/main" objectType="Button" lockText="1"/>
</file>

<file path=xl/ctrlProps/ctrlProp85.xml><?xml version="1.0" encoding="utf-8"?>
<formControlPr xmlns="http://schemas.microsoft.com/office/spreadsheetml/2009/9/main" objectType="Button" lockText="1"/>
</file>

<file path=xl/ctrlProps/ctrlProp86.xml><?xml version="1.0" encoding="utf-8"?>
<formControlPr xmlns="http://schemas.microsoft.com/office/spreadsheetml/2009/9/main" objectType="Button" lockText="1"/>
</file>

<file path=xl/ctrlProps/ctrlProp87.xml><?xml version="1.0" encoding="utf-8"?>
<formControlPr xmlns="http://schemas.microsoft.com/office/spreadsheetml/2009/9/main" objectType="Button" lockText="1"/>
</file>

<file path=xl/ctrlProps/ctrlProp88.xml><?xml version="1.0" encoding="utf-8"?>
<formControlPr xmlns="http://schemas.microsoft.com/office/spreadsheetml/2009/9/main" objectType="Button" lockText="1"/>
</file>

<file path=xl/ctrlProps/ctrlProp89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Button" lockText="1"/>
</file>

<file path=xl/ctrlProps/ctrlProp91.xml><?xml version="1.0" encoding="utf-8"?>
<formControlPr xmlns="http://schemas.microsoft.com/office/spreadsheetml/2009/9/main" objectType="Button" lockText="1"/>
</file>

<file path=xl/ctrlProps/ctrlProp92.xml><?xml version="1.0" encoding="utf-8"?>
<formControlPr xmlns="http://schemas.microsoft.com/office/spreadsheetml/2009/9/main" objectType="Button" lockText="1"/>
</file>

<file path=xl/ctrlProps/ctrlProp93.xml><?xml version="1.0" encoding="utf-8"?>
<formControlPr xmlns="http://schemas.microsoft.com/office/spreadsheetml/2009/9/main" objectType="Button" lockText="1"/>
</file>

<file path=xl/ctrlProps/ctrlProp94.xml><?xml version="1.0" encoding="utf-8"?>
<formControlPr xmlns="http://schemas.microsoft.com/office/spreadsheetml/2009/9/main" objectType="Button" lockText="1"/>
</file>

<file path=xl/ctrlProps/ctrlProp95.xml><?xml version="1.0" encoding="utf-8"?>
<formControlPr xmlns="http://schemas.microsoft.com/office/spreadsheetml/2009/9/main" objectType="Button" lockText="1"/>
</file>

<file path=xl/ctrlProps/ctrlProp96.xml><?xml version="1.0" encoding="utf-8"?>
<formControlPr xmlns="http://schemas.microsoft.com/office/spreadsheetml/2009/9/main" objectType="Button" lockText="1"/>
</file>

<file path=xl/ctrlProps/ctrlProp97.xml><?xml version="1.0" encoding="utf-8"?>
<formControlPr xmlns="http://schemas.microsoft.com/office/spreadsheetml/2009/9/main" objectType="Button" lockText="1"/>
</file>

<file path=xl/ctrlProps/ctrlProp98.xml><?xml version="1.0" encoding="utf-8"?>
<formControlPr xmlns="http://schemas.microsoft.com/office/spreadsheetml/2009/9/main" objectType="Button" lockText="1"/>
</file>

<file path=xl/ctrlProps/ctrlProp99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7.emf"/><Relationship Id="rId1" Type="http://schemas.openxmlformats.org/officeDocument/2006/relationships/image" Target="../media/image8.emf"/><Relationship Id="rId6" Type="http://schemas.openxmlformats.org/officeDocument/2006/relationships/image" Target="../media/image10.emf"/><Relationship Id="rId5" Type="http://schemas.openxmlformats.org/officeDocument/2006/relationships/image" Target="../media/image9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1314450</xdr:colOff>
          <xdr:row>4</xdr:row>
          <xdr:rowOff>66675</xdr:rowOff>
        </xdr:from>
        <xdr:to>
          <xdr:col>7</xdr:col>
          <xdr:colOff>1438275</xdr:colOff>
          <xdr:row>5</xdr:row>
          <xdr:rowOff>0</xdr:rowOff>
        </xdr:to>
        <xdr:sp macro="" textlink="">
          <xdr:nvSpPr>
            <xdr:cNvPr id="2049" name="cbApplyLevelFormatting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=""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3</xdr:col>
          <xdr:colOff>2800350</xdr:colOff>
          <xdr:row>6</xdr:row>
          <xdr:rowOff>0</xdr:rowOff>
        </xdr:to>
        <xdr:sp macro="" textlink="">
          <xdr:nvSpPr>
            <xdr:cNvPr id="2050" name="Ryhmän kehys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=""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Ryhmän kehys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5</xdr:row>
          <xdr:rowOff>57150</xdr:rowOff>
        </xdr:from>
        <xdr:to>
          <xdr:col>3</xdr:col>
          <xdr:colOff>2609850</xdr:colOff>
          <xdr:row>5</xdr:row>
          <xdr:rowOff>276225</xdr:rowOff>
        </xdr:to>
        <xdr:sp macro="" textlink="">
          <xdr:nvSpPr>
            <xdr:cNvPr id="2051" name="obLevelRowFirst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=""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Etusija rivimuodolla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57150</xdr:rowOff>
        </xdr:from>
        <xdr:to>
          <xdr:col>3</xdr:col>
          <xdr:colOff>447675</xdr:colOff>
          <xdr:row>5</xdr:row>
          <xdr:rowOff>276225</xdr:rowOff>
        </xdr:to>
        <xdr:sp macro="" textlink="">
          <xdr:nvSpPr>
            <xdr:cNvPr id="2052" name="obLevelColumnFirst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=""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Etusija sarakemuodolla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2752725</xdr:colOff>
          <xdr:row>5</xdr:row>
          <xdr:rowOff>0</xdr:rowOff>
        </xdr:from>
        <xdr:to>
          <xdr:col>10</xdr:col>
          <xdr:colOff>171450</xdr:colOff>
          <xdr:row>6</xdr:row>
          <xdr:rowOff>0</xdr:rowOff>
        </xdr:to>
        <xdr:sp macro="" textlink="">
          <xdr:nvSpPr>
            <xdr:cNvPr id="2053" name="Ryhmän kehys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=""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Ryhmän kehys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4229100</xdr:colOff>
          <xdr:row>5</xdr:row>
          <xdr:rowOff>57150</xdr:rowOff>
        </xdr:from>
        <xdr:to>
          <xdr:col>6</xdr:col>
          <xdr:colOff>171450</xdr:colOff>
          <xdr:row>5</xdr:row>
          <xdr:rowOff>276225</xdr:rowOff>
        </xdr:to>
        <xdr:sp macro="" textlink="">
          <xdr:nvSpPr>
            <xdr:cNvPr id="2054" name="obRelativeLevelHierarchy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=""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Suhteelliset tasot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2771775</xdr:colOff>
          <xdr:row>5</xdr:row>
          <xdr:rowOff>57150</xdr:rowOff>
        </xdr:from>
        <xdr:to>
          <xdr:col>3</xdr:col>
          <xdr:colOff>4200525</xdr:colOff>
          <xdr:row>5</xdr:row>
          <xdr:rowOff>276225</xdr:rowOff>
        </xdr:to>
        <xdr:sp macro="" textlink="">
          <xdr:nvSpPr>
            <xdr:cNvPr id="2055" name="obDatabaseLevelHierarchy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=""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Rakenteen tasot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0</xdr:rowOff>
        </xdr:from>
        <xdr:to>
          <xdr:col>11</xdr:col>
          <xdr:colOff>2419350</xdr:colOff>
          <xdr:row>5</xdr:row>
          <xdr:rowOff>323850</xdr:rowOff>
        </xdr:to>
        <xdr:sp macro="" textlink="">
          <xdr:nvSpPr>
            <xdr:cNvPr id="2056" name="cbApplyLevelFromTopToBottom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=""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Aloita muotoilu alimmalta näytetyltä tasolta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27</xdr:row>
          <xdr:rowOff>133350</xdr:rowOff>
        </xdr:from>
        <xdr:to>
          <xdr:col>11</xdr:col>
          <xdr:colOff>1133475</xdr:colOff>
          <xdr:row>28</xdr:row>
          <xdr:rowOff>123825</xdr:rowOff>
        </xdr:to>
        <xdr:sp macro="" textlink="">
          <xdr:nvSpPr>
            <xdr:cNvPr id="2057" name="LVL1tbFormattingByLevel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=""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Käytä muotoa kohteessa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27</xdr:row>
          <xdr:rowOff>0</xdr:rowOff>
        </xdr:from>
        <xdr:to>
          <xdr:col>12</xdr:col>
          <xdr:colOff>0</xdr:colOff>
          <xdr:row>29</xdr:row>
          <xdr:rowOff>0</xdr:rowOff>
        </xdr:to>
        <xdr:sp macro="" textlink="">
          <xdr:nvSpPr>
            <xdr:cNvPr id="2058" name="Ryhmän kehys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=""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Ryhmän kehys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904875</xdr:colOff>
          <xdr:row>27</xdr:row>
          <xdr:rowOff>228600</xdr:rowOff>
        </xdr:from>
        <xdr:to>
          <xdr:col>11</xdr:col>
          <xdr:colOff>2105025</xdr:colOff>
          <xdr:row>28</xdr:row>
          <xdr:rowOff>152400</xdr:rowOff>
        </xdr:to>
        <xdr:sp macro="" textlink="">
          <xdr:nvSpPr>
            <xdr:cNvPr id="2059" name="obLevelOuterFirst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=""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Ulompi ulottuvuus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904875</xdr:colOff>
          <xdr:row>27</xdr:row>
          <xdr:rowOff>19050</xdr:rowOff>
        </xdr:from>
        <xdr:to>
          <xdr:col>11</xdr:col>
          <xdr:colOff>2105025</xdr:colOff>
          <xdr:row>27</xdr:row>
          <xdr:rowOff>238125</xdr:rowOff>
        </xdr:to>
        <xdr:sp macro="" textlink="">
          <xdr:nvSpPr>
            <xdr:cNvPr id="2060" name="obLevelInnerFirst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=""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Sisempi ulottuvuus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29</xdr:row>
          <xdr:rowOff>200025</xdr:rowOff>
        </xdr:from>
        <xdr:to>
          <xdr:col>2</xdr:col>
          <xdr:colOff>1019175</xdr:colOff>
          <xdr:row>32</xdr:row>
          <xdr:rowOff>38100</xdr:rowOff>
        </xdr:to>
        <xdr:sp macro="" textlink="">
          <xdr:nvSpPr>
            <xdr:cNvPr id="2061" name="cbUseDefaultLevelFirst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=""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33</xdr:row>
          <xdr:rowOff>0</xdr:rowOff>
        </xdr:from>
        <xdr:to>
          <xdr:col>2</xdr:col>
          <xdr:colOff>1019175</xdr:colOff>
          <xdr:row>35</xdr:row>
          <xdr:rowOff>38100</xdr:rowOff>
        </xdr:to>
        <xdr:sp macro="" textlink="">
          <xdr:nvSpPr>
            <xdr:cNvPr id="2062" name="cbUseLeafLevelFirst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=""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36</xdr:row>
          <xdr:rowOff>38100</xdr:rowOff>
        </xdr:from>
        <xdr:to>
          <xdr:col>2</xdr:col>
          <xdr:colOff>1019175</xdr:colOff>
          <xdr:row>37</xdr:row>
          <xdr:rowOff>114300</xdr:rowOff>
        </xdr:to>
        <xdr:sp macro="" textlink="">
          <xdr:nvSpPr>
            <xdr:cNvPr id="2063" name="cbUseSpecificLevelFirst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=""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58</xdr:row>
          <xdr:rowOff>28575</xdr:rowOff>
        </xdr:from>
        <xdr:to>
          <xdr:col>3</xdr:col>
          <xdr:colOff>2124075</xdr:colOff>
          <xdr:row>59</xdr:row>
          <xdr:rowOff>9525</xdr:rowOff>
        </xdr:to>
        <xdr:sp macro="" textlink="">
          <xdr:nvSpPr>
            <xdr:cNvPr id="2064" name="AddLevelFirst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=""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Lisää taso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2228850</xdr:colOff>
          <xdr:row>58</xdr:row>
          <xdr:rowOff>28575</xdr:rowOff>
        </xdr:from>
        <xdr:to>
          <xdr:col>3</xdr:col>
          <xdr:colOff>4295775</xdr:colOff>
          <xdr:row>59</xdr:row>
          <xdr:rowOff>9525</xdr:rowOff>
        </xdr:to>
        <xdr:sp macro="" textlink="">
          <xdr:nvSpPr>
            <xdr:cNvPr id="2065" name="RemoveLevelFirst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=""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 viimeinen taso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6</xdr:row>
          <xdr:rowOff>142875</xdr:rowOff>
        </xdr:from>
        <xdr:to>
          <xdr:col>11</xdr:col>
          <xdr:colOff>1133475</xdr:colOff>
          <xdr:row>7</xdr:row>
          <xdr:rowOff>133350</xdr:rowOff>
        </xdr:to>
        <xdr:sp macro="" textlink="">
          <xdr:nvSpPr>
            <xdr:cNvPr id="2066" name="LVL2tbFormattingByLevel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=""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Käytä muotoa kohteessa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60</xdr:row>
          <xdr:rowOff>0</xdr:rowOff>
        </xdr:from>
        <xdr:to>
          <xdr:col>12</xdr:col>
          <xdr:colOff>0</xdr:colOff>
          <xdr:row>62</xdr:row>
          <xdr:rowOff>85725</xdr:rowOff>
        </xdr:to>
        <xdr:sp macro="" textlink="">
          <xdr:nvSpPr>
            <xdr:cNvPr id="2067" name="Ryhmän kehys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=""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Ryhmän kehys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904875</xdr:colOff>
          <xdr:row>6</xdr:row>
          <xdr:rowOff>228600</xdr:rowOff>
        </xdr:from>
        <xdr:to>
          <xdr:col>11</xdr:col>
          <xdr:colOff>2105025</xdr:colOff>
          <xdr:row>7</xdr:row>
          <xdr:rowOff>171450</xdr:rowOff>
        </xdr:to>
        <xdr:sp macro="" textlink="">
          <xdr:nvSpPr>
            <xdr:cNvPr id="2068" name="obLevelOuterSecond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=""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Ulompi ulottuvuus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904875</xdr:colOff>
          <xdr:row>6</xdr:row>
          <xdr:rowOff>38100</xdr:rowOff>
        </xdr:from>
        <xdr:to>
          <xdr:col>11</xdr:col>
          <xdr:colOff>2105025</xdr:colOff>
          <xdr:row>6</xdr:row>
          <xdr:rowOff>247650</xdr:rowOff>
        </xdr:to>
        <xdr:sp macro="" textlink="">
          <xdr:nvSpPr>
            <xdr:cNvPr id="2069" name="obLevelInnerSecond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=""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Sisempi ulottuvuus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9</xdr:row>
          <xdr:rowOff>0</xdr:rowOff>
        </xdr:from>
        <xdr:to>
          <xdr:col>2</xdr:col>
          <xdr:colOff>1019175</xdr:colOff>
          <xdr:row>11</xdr:row>
          <xdr:rowOff>38100</xdr:rowOff>
        </xdr:to>
        <xdr:sp macro="" textlink="">
          <xdr:nvSpPr>
            <xdr:cNvPr id="2070" name="cbUseDefaultLevelSecond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=""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12</xdr:row>
          <xdr:rowOff>0</xdr:rowOff>
        </xdr:from>
        <xdr:to>
          <xdr:col>2</xdr:col>
          <xdr:colOff>1019175</xdr:colOff>
          <xdr:row>14</xdr:row>
          <xdr:rowOff>47625</xdr:rowOff>
        </xdr:to>
        <xdr:sp macro="" textlink="">
          <xdr:nvSpPr>
            <xdr:cNvPr id="2071" name="cbUseLeafLevelSecond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=""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15</xdr:row>
          <xdr:rowOff>38100</xdr:rowOff>
        </xdr:from>
        <xdr:to>
          <xdr:col>2</xdr:col>
          <xdr:colOff>1019175</xdr:colOff>
          <xdr:row>16</xdr:row>
          <xdr:rowOff>114300</xdr:rowOff>
        </xdr:to>
        <xdr:sp macro="" textlink="">
          <xdr:nvSpPr>
            <xdr:cNvPr id="2072" name="cbUseSpecificLevelSecond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=""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25</xdr:row>
          <xdr:rowOff>19050</xdr:rowOff>
        </xdr:from>
        <xdr:to>
          <xdr:col>3</xdr:col>
          <xdr:colOff>2124075</xdr:colOff>
          <xdr:row>26</xdr:row>
          <xdr:rowOff>0</xdr:rowOff>
        </xdr:to>
        <xdr:sp macro="" textlink="">
          <xdr:nvSpPr>
            <xdr:cNvPr id="2073" name="AddLevelSecond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=""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Lisää taso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2228850</xdr:colOff>
          <xdr:row>25</xdr:row>
          <xdr:rowOff>19050</xdr:rowOff>
        </xdr:from>
        <xdr:to>
          <xdr:col>3</xdr:col>
          <xdr:colOff>4295775</xdr:colOff>
          <xdr:row>26</xdr:row>
          <xdr:rowOff>0</xdr:rowOff>
        </xdr:to>
        <xdr:sp macro="" textlink="">
          <xdr:nvSpPr>
            <xdr:cNvPr id="2074" name="RemoveLevelSecond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=""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 viimeinen taso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933450</xdr:colOff>
          <xdr:row>63</xdr:row>
          <xdr:rowOff>66675</xdr:rowOff>
        </xdr:from>
        <xdr:to>
          <xdr:col>10</xdr:col>
          <xdr:colOff>104775</xdr:colOff>
          <xdr:row>64</xdr:row>
          <xdr:rowOff>0</xdr:rowOff>
        </xdr:to>
        <xdr:sp macro="" textlink="">
          <xdr:nvSpPr>
            <xdr:cNvPr id="2075" name="cbApplyMemberFormatting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=""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64</xdr:row>
          <xdr:rowOff>0</xdr:rowOff>
        </xdr:from>
        <xdr:to>
          <xdr:col>12</xdr:col>
          <xdr:colOff>0</xdr:colOff>
          <xdr:row>65</xdr:row>
          <xdr:rowOff>0</xdr:rowOff>
        </xdr:to>
        <xdr:sp macro="" textlink="">
          <xdr:nvSpPr>
            <xdr:cNvPr id="2076" name="Ryhmän kehys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=""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Ryhmän kehys 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64</xdr:row>
          <xdr:rowOff>57150</xdr:rowOff>
        </xdr:from>
        <xdr:to>
          <xdr:col>3</xdr:col>
          <xdr:colOff>2609850</xdr:colOff>
          <xdr:row>64</xdr:row>
          <xdr:rowOff>276225</xdr:rowOff>
        </xdr:to>
        <xdr:sp macro="" textlink="">
          <xdr:nvSpPr>
            <xdr:cNvPr id="2077" name="obMemberRowFirst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=""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Etusija rivimuodolla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64</xdr:row>
          <xdr:rowOff>57150</xdr:rowOff>
        </xdr:from>
        <xdr:to>
          <xdr:col>3</xdr:col>
          <xdr:colOff>447675</xdr:colOff>
          <xdr:row>64</xdr:row>
          <xdr:rowOff>276225</xdr:rowOff>
        </xdr:to>
        <xdr:sp macro="" textlink="">
          <xdr:nvSpPr>
            <xdr:cNvPr id="2078" name="obMemberColumnFirst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=""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Etusija sarakemuodolla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93</xdr:row>
          <xdr:rowOff>200025</xdr:rowOff>
        </xdr:from>
        <xdr:to>
          <xdr:col>2</xdr:col>
          <xdr:colOff>1019175</xdr:colOff>
          <xdr:row>96</xdr:row>
          <xdr:rowOff>38100</xdr:rowOff>
        </xdr:to>
        <xdr:sp macro="" textlink="">
          <xdr:nvSpPr>
            <xdr:cNvPr id="2079" name="cbApplyCustomMemberDefaultFirst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=""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96</xdr:row>
          <xdr:rowOff>47625</xdr:rowOff>
        </xdr:from>
        <xdr:to>
          <xdr:col>2</xdr:col>
          <xdr:colOff>1019175</xdr:colOff>
          <xdr:row>99</xdr:row>
          <xdr:rowOff>38100</xdr:rowOff>
        </xdr:to>
        <xdr:sp macro="" textlink="">
          <xdr:nvSpPr>
            <xdr:cNvPr id="2080" name="cbApplyCalculatedMemberFirst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=""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100</xdr:row>
          <xdr:rowOff>0</xdr:rowOff>
        </xdr:from>
        <xdr:to>
          <xdr:col>2</xdr:col>
          <xdr:colOff>1019175</xdr:colOff>
          <xdr:row>102</xdr:row>
          <xdr:rowOff>38100</xdr:rowOff>
        </xdr:to>
        <xdr:sp macro="" textlink="">
          <xdr:nvSpPr>
            <xdr:cNvPr id="2081" name="cbApplyImputableMemberFirst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=""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103</xdr:row>
          <xdr:rowOff>0</xdr:rowOff>
        </xdr:from>
        <xdr:to>
          <xdr:col>2</xdr:col>
          <xdr:colOff>1019175</xdr:colOff>
          <xdr:row>105</xdr:row>
          <xdr:rowOff>38100</xdr:rowOff>
        </xdr:to>
        <xdr:sp macro="" textlink="">
          <xdr:nvSpPr>
            <xdr:cNvPr id="2082" name="cbApplyLocalMemberFirst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=""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106</xdr:row>
          <xdr:rowOff>0</xdr:rowOff>
        </xdr:from>
        <xdr:to>
          <xdr:col>2</xdr:col>
          <xdr:colOff>1019175</xdr:colOff>
          <xdr:row>108</xdr:row>
          <xdr:rowOff>38100</xdr:rowOff>
        </xdr:to>
        <xdr:sp macro="" textlink="">
          <xdr:nvSpPr>
            <xdr:cNvPr id="2083" name="cbApplyChangedMemberFirst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=""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109</xdr:row>
          <xdr:rowOff>47625</xdr:rowOff>
        </xdr:from>
        <xdr:to>
          <xdr:col>2</xdr:col>
          <xdr:colOff>1019175</xdr:colOff>
          <xdr:row>111</xdr:row>
          <xdr:rowOff>0</xdr:rowOff>
        </xdr:to>
        <xdr:sp macro="" textlink="">
          <xdr:nvSpPr>
            <xdr:cNvPr id="2084" name="cbApplySpecificMemberFirst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=""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147</xdr:row>
          <xdr:rowOff>19050</xdr:rowOff>
        </xdr:from>
        <xdr:to>
          <xdr:col>3</xdr:col>
          <xdr:colOff>4286250</xdr:colOff>
          <xdr:row>147</xdr:row>
          <xdr:rowOff>266700</xdr:rowOff>
        </xdr:to>
        <xdr:sp macro="" textlink="">
          <xdr:nvSpPr>
            <xdr:cNvPr id="2085" name="AddMemberFirst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=""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Lisää jäsen/ominaisuus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67</xdr:row>
          <xdr:rowOff>0</xdr:rowOff>
        </xdr:from>
        <xdr:to>
          <xdr:col>2</xdr:col>
          <xdr:colOff>1019175</xdr:colOff>
          <xdr:row>69</xdr:row>
          <xdr:rowOff>38100</xdr:rowOff>
        </xdr:to>
        <xdr:sp macro="" textlink="">
          <xdr:nvSpPr>
            <xdr:cNvPr id="2086" name="cbApplyCustomMemberDefaultSecond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=""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69</xdr:row>
          <xdr:rowOff>47625</xdr:rowOff>
        </xdr:from>
        <xdr:to>
          <xdr:col>2</xdr:col>
          <xdr:colOff>1019175</xdr:colOff>
          <xdr:row>72</xdr:row>
          <xdr:rowOff>47625</xdr:rowOff>
        </xdr:to>
        <xdr:sp macro="" textlink="">
          <xdr:nvSpPr>
            <xdr:cNvPr id="2087" name="cbApplyCalculatedMemberSecond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=""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73</xdr:row>
          <xdr:rowOff>0</xdr:rowOff>
        </xdr:from>
        <xdr:to>
          <xdr:col>2</xdr:col>
          <xdr:colOff>1019175</xdr:colOff>
          <xdr:row>75</xdr:row>
          <xdr:rowOff>38100</xdr:rowOff>
        </xdr:to>
        <xdr:sp macro="" textlink="">
          <xdr:nvSpPr>
            <xdr:cNvPr id="2088" name="cbApplyImputableMemberSecond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=""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76</xdr:row>
          <xdr:rowOff>0</xdr:rowOff>
        </xdr:from>
        <xdr:to>
          <xdr:col>2</xdr:col>
          <xdr:colOff>1019175</xdr:colOff>
          <xdr:row>78</xdr:row>
          <xdr:rowOff>38100</xdr:rowOff>
        </xdr:to>
        <xdr:sp macro="" textlink="">
          <xdr:nvSpPr>
            <xdr:cNvPr id="2089" name="cbApplyLocalMemberSecond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=""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79</xdr:row>
          <xdr:rowOff>0</xdr:rowOff>
        </xdr:from>
        <xdr:to>
          <xdr:col>2</xdr:col>
          <xdr:colOff>1019175</xdr:colOff>
          <xdr:row>81</xdr:row>
          <xdr:rowOff>38100</xdr:rowOff>
        </xdr:to>
        <xdr:sp macro="" textlink="">
          <xdr:nvSpPr>
            <xdr:cNvPr id="2090" name="cbApplyChangedMemberSecond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=""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82</xdr:row>
          <xdr:rowOff>47625</xdr:rowOff>
        </xdr:from>
        <xdr:to>
          <xdr:col>2</xdr:col>
          <xdr:colOff>1019175</xdr:colOff>
          <xdr:row>84</xdr:row>
          <xdr:rowOff>0</xdr:rowOff>
        </xdr:to>
        <xdr:sp macro="" textlink="">
          <xdr:nvSpPr>
            <xdr:cNvPr id="2091" name="cbApplySpecificMemberSecond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=""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90</xdr:row>
          <xdr:rowOff>19050</xdr:rowOff>
        </xdr:from>
        <xdr:to>
          <xdr:col>3</xdr:col>
          <xdr:colOff>4286250</xdr:colOff>
          <xdr:row>90</xdr:row>
          <xdr:rowOff>266700</xdr:rowOff>
        </xdr:to>
        <xdr:sp macro="" textlink="">
          <xdr:nvSpPr>
            <xdr:cNvPr id="2092" name="AddMemberSecond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=""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Lisää jäsen/ominaisuus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151</xdr:row>
          <xdr:rowOff>66675</xdr:rowOff>
        </xdr:from>
        <xdr:to>
          <xdr:col>9</xdr:col>
          <xdr:colOff>523875</xdr:colOff>
          <xdr:row>152</xdr:row>
          <xdr:rowOff>0</xdr:rowOff>
        </xdr:to>
        <xdr:sp macro="" textlink="">
          <xdr:nvSpPr>
            <xdr:cNvPr id="2093" name="cbApplyOddEvenFormatting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=""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152</xdr:row>
          <xdr:rowOff>0</xdr:rowOff>
        </xdr:from>
        <xdr:to>
          <xdr:col>12</xdr:col>
          <xdr:colOff>0</xdr:colOff>
          <xdr:row>153</xdr:row>
          <xdr:rowOff>0</xdr:rowOff>
        </xdr:to>
        <xdr:sp macro="" textlink="">
          <xdr:nvSpPr>
            <xdr:cNvPr id="2094" name="Ryhmän kehys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=""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Ryhmän kehys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152</xdr:row>
          <xdr:rowOff>66675</xdr:rowOff>
        </xdr:from>
        <xdr:to>
          <xdr:col>3</xdr:col>
          <xdr:colOff>2609850</xdr:colOff>
          <xdr:row>152</xdr:row>
          <xdr:rowOff>276225</xdr:rowOff>
        </xdr:to>
        <xdr:sp macro="" textlink="">
          <xdr:nvSpPr>
            <xdr:cNvPr id="2095" name="obOddEvenRowFirst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=""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Etusija rivimuodolla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152</xdr:row>
          <xdr:rowOff>66675</xdr:rowOff>
        </xdr:from>
        <xdr:to>
          <xdr:col>3</xdr:col>
          <xdr:colOff>447675</xdr:colOff>
          <xdr:row>152</xdr:row>
          <xdr:rowOff>276225</xdr:rowOff>
        </xdr:to>
        <xdr:sp macro="" textlink="">
          <xdr:nvSpPr>
            <xdr:cNvPr id="2096" name="obOddEvenColumnFirst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=""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Etusija sarakemuodolla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155</xdr:row>
          <xdr:rowOff>0</xdr:rowOff>
        </xdr:from>
        <xdr:to>
          <xdr:col>2</xdr:col>
          <xdr:colOff>1019175</xdr:colOff>
          <xdr:row>157</xdr:row>
          <xdr:rowOff>38100</xdr:rowOff>
        </xdr:to>
        <xdr:sp macro="" textlink="">
          <xdr:nvSpPr>
            <xdr:cNvPr id="2097" name="cbUseOddFirst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=""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158</xdr:row>
          <xdr:rowOff>0</xdr:rowOff>
        </xdr:from>
        <xdr:to>
          <xdr:col>2</xdr:col>
          <xdr:colOff>1019175</xdr:colOff>
          <xdr:row>160</xdr:row>
          <xdr:rowOff>38100</xdr:rowOff>
        </xdr:to>
        <xdr:sp macro="" textlink="">
          <xdr:nvSpPr>
            <xdr:cNvPr id="2098" name="cbUseEvenFirst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=""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163</xdr:row>
          <xdr:rowOff>0</xdr:rowOff>
        </xdr:from>
        <xdr:to>
          <xdr:col>2</xdr:col>
          <xdr:colOff>1019175</xdr:colOff>
          <xdr:row>165</xdr:row>
          <xdr:rowOff>38100</xdr:rowOff>
        </xdr:to>
        <xdr:sp macro="" textlink="">
          <xdr:nvSpPr>
            <xdr:cNvPr id="2099" name="cbUseOddSecond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=""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165</xdr:row>
          <xdr:rowOff>47625</xdr:rowOff>
        </xdr:from>
        <xdr:to>
          <xdr:col>2</xdr:col>
          <xdr:colOff>1019175</xdr:colOff>
          <xdr:row>168</xdr:row>
          <xdr:rowOff>38100</xdr:rowOff>
        </xdr:to>
        <xdr:sp macro="" textlink="">
          <xdr:nvSpPr>
            <xdr:cNvPr id="2100" name="cbUseEvenSecond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=""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1524000</xdr:colOff>
          <xdr:row>171</xdr:row>
          <xdr:rowOff>66675</xdr:rowOff>
        </xdr:from>
        <xdr:to>
          <xdr:col>7</xdr:col>
          <xdr:colOff>1647825</xdr:colOff>
          <xdr:row>172</xdr:row>
          <xdr:rowOff>0</xdr:rowOff>
        </xdr:to>
        <xdr:sp macro="" textlink="">
          <xdr:nvSpPr>
            <xdr:cNvPr id="2101" name="cbApplyPageHeaderFormatting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=""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173</xdr:row>
          <xdr:rowOff>200025</xdr:rowOff>
        </xdr:from>
        <xdr:to>
          <xdr:col>2</xdr:col>
          <xdr:colOff>1019175</xdr:colOff>
          <xdr:row>176</xdr:row>
          <xdr:rowOff>38100</xdr:rowOff>
        </xdr:to>
        <xdr:sp macro="" textlink="">
          <xdr:nvSpPr>
            <xdr:cNvPr id="2102" name="cbUseDefaultPageHeaderFormat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=""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177</xdr:row>
          <xdr:rowOff>0</xdr:rowOff>
        </xdr:from>
        <xdr:to>
          <xdr:col>2</xdr:col>
          <xdr:colOff>1019175</xdr:colOff>
          <xdr:row>178</xdr:row>
          <xdr:rowOff>171450</xdr:rowOff>
        </xdr:to>
        <xdr:sp macro="" textlink="">
          <xdr:nvSpPr>
            <xdr:cNvPr id="2103" name="cbUseDimensionFormatting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=""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179</xdr:row>
          <xdr:rowOff>19050</xdr:rowOff>
        </xdr:from>
        <xdr:to>
          <xdr:col>3</xdr:col>
          <xdr:colOff>4286250</xdr:colOff>
          <xdr:row>180</xdr:row>
          <xdr:rowOff>0</xdr:rowOff>
        </xdr:to>
        <xdr:sp macro="" textlink="">
          <xdr:nvSpPr>
            <xdr:cNvPr id="2104" name="AddDimension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=""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Lisää ulottuvuus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84</xdr:row>
          <xdr:rowOff>47625</xdr:rowOff>
        </xdr:from>
        <xdr:to>
          <xdr:col>12</xdr:col>
          <xdr:colOff>685800</xdr:colOff>
          <xdr:row>86</xdr:row>
          <xdr:rowOff>0</xdr:rowOff>
        </xdr:to>
        <xdr:sp macro="" textlink="">
          <xdr:nvSpPr>
            <xdr:cNvPr id="2159" name="AddedMember2_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=""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704850</xdr:colOff>
          <xdr:row>84</xdr:row>
          <xdr:rowOff>47625</xdr:rowOff>
        </xdr:from>
        <xdr:to>
          <xdr:col>13</xdr:col>
          <xdr:colOff>676275</xdr:colOff>
          <xdr:row>86</xdr:row>
          <xdr:rowOff>0</xdr:rowOff>
        </xdr:to>
        <xdr:sp macro="" textlink="">
          <xdr:nvSpPr>
            <xdr:cNvPr id="2160" name="ChangeMember2_1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=""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Change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84</xdr:row>
          <xdr:rowOff>47625</xdr:rowOff>
        </xdr:from>
        <xdr:to>
          <xdr:col>14</xdr:col>
          <xdr:colOff>685800</xdr:colOff>
          <xdr:row>86</xdr:row>
          <xdr:rowOff>0</xdr:rowOff>
        </xdr:to>
        <xdr:sp macro="" textlink="">
          <xdr:nvSpPr>
            <xdr:cNvPr id="2161" name="UpMember2_1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=""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Up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84</xdr:row>
          <xdr:rowOff>47625</xdr:rowOff>
        </xdr:from>
        <xdr:to>
          <xdr:col>15</xdr:col>
          <xdr:colOff>685800</xdr:colOff>
          <xdr:row>86</xdr:row>
          <xdr:rowOff>0</xdr:rowOff>
        </xdr:to>
        <xdr:sp macro="" textlink="">
          <xdr:nvSpPr>
            <xdr:cNvPr id="2162" name="DownMember2_1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=""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Down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88</xdr:row>
          <xdr:rowOff>0</xdr:rowOff>
        </xdr:from>
        <xdr:to>
          <xdr:col>12</xdr:col>
          <xdr:colOff>685800</xdr:colOff>
          <xdr:row>89</xdr:row>
          <xdr:rowOff>0</xdr:rowOff>
        </xdr:to>
        <xdr:sp macro="" textlink="">
          <xdr:nvSpPr>
            <xdr:cNvPr id="2169" name="AddedMember2_2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="" xmlns:a16="http://schemas.microsoft.com/office/drawing/2014/main" id="{00000000-0008-0000-00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704850</xdr:colOff>
          <xdr:row>88</xdr:row>
          <xdr:rowOff>0</xdr:rowOff>
        </xdr:from>
        <xdr:to>
          <xdr:col>13</xdr:col>
          <xdr:colOff>676275</xdr:colOff>
          <xdr:row>89</xdr:row>
          <xdr:rowOff>0</xdr:rowOff>
        </xdr:to>
        <xdr:sp macro="" textlink="">
          <xdr:nvSpPr>
            <xdr:cNvPr id="2170" name="ChangeMember2_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="" xmlns:a16="http://schemas.microsoft.com/office/drawing/2014/main" id="{00000000-0008-0000-00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Change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88</xdr:row>
          <xdr:rowOff>0</xdr:rowOff>
        </xdr:from>
        <xdr:to>
          <xdr:col>14</xdr:col>
          <xdr:colOff>685800</xdr:colOff>
          <xdr:row>89</xdr:row>
          <xdr:rowOff>0</xdr:rowOff>
        </xdr:to>
        <xdr:sp macro="" textlink="">
          <xdr:nvSpPr>
            <xdr:cNvPr id="2171" name="UpMember2_2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="" xmlns:a16="http://schemas.microsoft.com/office/drawing/2014/main" id="{00000000-0008-0000-00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Up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88</xdr:row>
          <xdr:rowOff>0</xdr:rowOff>
        </xdr:from>
        <xdr:to>
          <xdr:col>15</xdr:col>
          <xdr:colOff>685800</xdr:colOff>
          <xdr:row>89</xdr:row>
          <xdr:rowOff>0</xdr:rowOff>
        </xdr:to>
        <xdr:sp macro="" textlink="">
          <xdr:nvSpPr>
            <xdr:cNvPr id="2172" name="DownMember2_2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=""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Down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112</xdr:row>
          <xdr:rowOff>0</xdr:rowOff>
        </xdr:from>
        <xdr:to>
          <xdr:col>12</xdr:col>
          <xdr:colOff>685800</xdr:colOff>
          <xdr:row>113</xdr:row>
          <xdr:rowOff>9525</xdr:rowOff>
        </xdr:to>
        <xdr:sp macro="" textlink="">
          <xdr:nvSpPr>
            <xdr:cNvPr id="2241" name="AddedMember1_1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="" xmlns:a16="http://schemas.microsoft.com/office/drawing/2014/main" id="{00000000-0008-0000-00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704850</xdr:colOff>
          <xdr:row>112</xdr:row>
          <xdr:rowOff>0</xdr:rowOff>
        </xdr:from>
        <xdr:to>
          <xdr:col>13</xdr:col>
          <xdr:colOff>676275</xdr:colOff>
          <xdr:row>113</xdr:row>
          <xdr:rowOff>9525</xdr:rowOff>
        </xdr:to>
        <xdr:sp macro="" textlink="">
          <xdr:nvSpPr>
            <xdr:cNvPr id="2242" name="ChangeMember1_1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="" xmlns:a16="http://schemas.microsoft.com/office/drawing/2014/main" id="{00000000-0008-0000-00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Change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112</xdr:row>
          <xdr:rowOff>0</xdr:rowOff>
        </xdr:from>
        <xdr:to>
          <xdr:col>14</xdr:col>
          <xdr:colOff>685800</xdr:colOff>
          <xdr:row>113</xdr:row>
          <xdr:rowOff>9525</xdr:rowOff>
        </xdr:to>
        <xdr:sp macro="" textlink="">
          <xdr:nvSpPr>
            <xdr:cNvPr id="2243" name="UpMember1_1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="" xmlns:a16="http://schemas.microsoft.com/office/drawing/2014/main" id="{00000000-0008-0000-00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Up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112</xdr:row>
          <xdr:rowOff>0</xdr:rowOff>
        </xdr:from>
        <xdr:to>
          <xdr:col>15</xdr:col>
          <xdr:colOff>685800</xdr:colOff>
          <xdr:row>113</xdr:row>
          <xdr:rowOff>9525</xdr:rowOff>
        </xdr:to>
        <xdr:sp macro="" textlink="">
          <xdr:nvSpPr>
            <xdr:cNvPr id="2244" name="DownMember1_1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="" xmlns:a16="http://schemas.microsoft.com/office/drawing/2014/main" id="{00000000-0008-0000-00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Down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114</xdr:row>
          <xdr:rowOff>47625</xdr:rowOff>
        </xdr:from>
        <xdr:to>
          <xdr:col>12</xdr:col>
          <xdr:colOff>685800</xdr:colOff>
          <xdr:row>116</xdr:row>
          <xdr:rowOff>0</xdr:rowOff>
        </xdr:to>
        <xdr:sp macro="" textlink="">
          <xdr:nvSpPr>
            <xdr:cNvPr id="2251" name="AddedMember1_2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="" xmlns:a16="http://schemas.microsoft.com/office/drawing/2014/main" id="{00000000-0008-0000-00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704850</xdr:colOff>
          <xdr:row>114</xdr:row>
          <xdr:rowOff>47625</xdr:rowOff>
        </xdr:from>
        <xdr:to>
          <xdr:col>13</xdr:col>
          <xdr:colOff>676275</xdr:colOff>
          <xdr:row>116</xdr:row>
          <xdr:rowOff>0</xdr:rowOff>
        </xdr:to>
        <xdr:sp macro="" textlink="">
          <xdr:nvSpPr>
            <xdr:cNvPr id="2252" name="ChangeMember1_2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="" xmlns:a16="http://schemas.microsoft.com/office/drawing/2014/main" id="{00000000-0008-0000-00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Change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114</xdr:row>
          <xdr:rowOff>47625</xdr:rowOff>
        </xdr:from>
        <xdr:to>
          <xdr:col>14</xdr:col>
          <xdr:colOff>685800</xdr:colOff>
          <xdr:row>116</xdr:row>
          <xdr:rowOff>0</xdr:rowOff>
        </xdr:to>
        <xdr:sp macro="" textlink="">
          <xdr:nvSpPr>
            <xdr:cNvPr id="2253" name="UpMember1_2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="" xmlns:a16="http://schemas.microsoft.com/office/drawing/2014/main" id="{00000000-0008-0000-00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Up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114</xdr:row>
          <xdr:rowOff>47625</xdr:rowOff>
        </xdr:from>
        <xdr:to>
          <xdr:col>15</xdr:col>
          <xdr:colOff>685800</xdr:colOff>
          <xdr:row>116</xdr:row>
          <xdr:rowOff>0</xdr:rowOff>
        </xdr:to>
        <xdr:sp macro="" textlink="">
          <xdr:nvSpPr>
            <xdr:cNvPr id="2254" name="DownMember1_2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="" xmlns:a16="http://schemas.microsoft.com/office/drawing/2014/main" id="{00000000-0008-0000-00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Down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117</xdr:row>
          <xdr:rowOff>47625</xdr:rowOff>
        </xdr:from>
        <xdr:to>
          <xdr:col>12</xdr:col>
          <xdr:colOff>685800</xdr:colOff>
          <xdr:row>118</xdr:row>
          <xdr:rowOff>190500</xdr:rowOff>
        </xdr:to>
        <xdr:sp macro="" textlink="">
          <xdr:nvSpPr>
            <xdr:cNvPr id="2266" name="AddedMember1_3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="" xmlns:a16="http://schemas.microsoft.com/office/drawing/2014/main" id="{00000000-0008-0000-00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704850</xdr:colOff>
          <xdr:row>117</xdr:row>
          <xdr:rowOff>47625</xdr:rowOff>
        </xdr:from>
        <xdr:to>
          <xdr:col>13</xdr:col>
          <xdr:colOff>676275</xdr:colOff>
          <xdr:row>118</xdr:row>
          <xdr:rowOff>190500</xdr:rowOff>
        </xdr:to>
        <xdr:sp macro="" textlink="">
          <xdr:nvSpPr>
            <xdr:cNvPr id="2267" name="ChangeMember1_3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="" xmlns:a16="http://schemas.microsoft.com/office/drawing/2014/main" id="{00000000-0008-0000-00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Change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117</xdr:row>
          <xdr:rowOff>47625</xdr:rowOff>
        </xdr:from>
        <xdr:to>
          <xdr:col>14</xdr:col>
          <xdr:colOff>685800</xdr:colOff>
          <xdr:row>118</xdr:row>
          <xdr:rowOff>190500</xdr:rowOff>
        </xdr:to>
        <xdr:sp macro="" textlink="">
          <xdr:nvSpPr>
            <xdr:cNvPr id="2268" name="UpMember1_3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="" xmlns:a16="http://schemas.microsoft.com/office/drawing/2014/main" id="{00000000-0008-0000-00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Up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117</xdr:row>
          <xdr:rowOff>47625</xdr:rowOff>
        </xdr:from>
        <xdr:to>
          <xdr:col>15</xdr:col>
          <xdr:colOff>685800</xdr:colOff>
          <xdr:row>118</xdr:row>
          <xdr:rowOff>190500</xdr:rowOff>
        </xdr:to>
        <xdr:sp macro="" textlink="">
          <xdr:nvSpPr>
            <xdr:cNvPr id="2269" name="DownMember1_3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="" xmlns:a16="http://schemas.microsoft.com/office/drawing/2014/main" id="{00000000-0008-0000-00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Down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120</xdr:row>
          <xdr:rowOff>47625</xdr:rowOff>
        </xdr:from>
        <xdr:to>
          <xdr:col>12</xdr:col>
          <xdr:colOff>685800</xdr:colOff>
          <xdr:row>122</xdr:row>
          <xdr:rowOff>0</xdr:rowOff>
        </xdr:to>
        <xdr:sp macro="" textlink="">
          <xdr:nvSpPr>
            <xdr:cNvPr id="2271" name="AddedMember1_4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="" xmlns:a16="http://schemas.microsoft.com/office/drawing/2014/main" id="{00000000-0008-0000-00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704850</xdr:colOff>
          <xdr:row>120</xdr:row>
          <xdr:rowOff>47625</xdr:rowOff>
        </xdr:from>
        <xdr:to>
          <xdr:col>13</xdr:col>
          <xdr:colOff>676275</xdr:colOff>
          <xdr:row>122</xdr:row>
          <xdr:rowOff>0</xdr:rowOff>
        </xdr:to>
        <xdr:sp macro="" textlink="">
          <xdr:nvSpPr>
            <xdr:cNvPr id="2272" name="ChangeMember1_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="" xmlns:a16="http://schemas.microsoft.com/office/drawing/2014/main" id="{00000000-0008-0000-00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Change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120</xdr:row>
          <xdr:rowOff>47625</xdr:rowOff>
        </xdr:from>
        <xdr:to>
          <xdr:col>14</xdr:col>
          <xdr:colOff>685800</xdr:colOff>
          <xdr:row>122</xdr:row>
          <xdr:rowOff>0</xdr:rowOff>
        </xdr:to>
        <xdr:sp macro="" textlink="">
          <xdr:nvSpPr>
            <xdr:cNvPr id="2273" name="UpMember1_4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="" xmlns:a16="http://schemas.microsoft.com/office/drawing/2014/main" id="{00000000-0008-0000-00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Up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120</xdr:row>
          <xdr:rowOff>47625</xdr:rowOff>
        </xdr:from>
        <xdr:to>
          <xdr:col>15</xdr:col>
          <xdr:colOff>685800</xdr:colOff>
          <xdr:row>122</xdr:row>
          <xdr:rowOff>0</xdr:rowOff>
        </xdr:to>
        <xdr:sp macro="" textlink="">
          <xdr:nvSpPr>
            <xdr:cNvPr id="2274" name="DownMember1_4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="" xmlns:a16="http://schemas.microsoft.com/office/drawing/2014/main" id="{00000000-0008-0000-00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Down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123</xdr:row>
          <xdr:rowOff>47625</xdr:rowOff>
        </xdr:from>
        <xdr:to>
          <xdr:col>12</xdr:col>
          <xdr:colOff>685800</xdr:colOff>
          <xdr:row>124</xdr:row>
          <xdr:rowOff>190500</xdr:rowOff>
        </xdr:to>
        <xdr:sp macro="" textlink="">
          <xdr:nvSpPr>
            <xdr:cNvPr id="2281" name="AddedMember1_5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="" xmlns:a16="http://schemas.microsoft.com/office/drawing/2014/main" id="{00000000-0008-0000-00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704850</xdr:colOff>
          <xdr:row>123</xdr:row>
          <xdr:rowOff>47625</xdr:rowOff>
        </xdr:from>
        <xdr:to>
          <xdr:col>13</xdr:col>
          <xdr:colOff>676275</xdr:colOff>
          <xdr:row>124</xdr:row>
          <xdr:rowOff>190500</xdr:rowOff>
        </xdr:to>
        <xdr:sp macro="" textlink="">
          <xdr:nvSpPr>
            <xdr:cNvPr id="2282" name="ChangeMember1_5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="" xmlns:a16="http://schemas.microsoft.com/office/drawing/2014/main" id="{00000000-0008-0000-00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Change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123</xdr:row>
          <xdr:rowOff>47625</xdr:rowOff>
        </xdr:from>
        <xdr:to>
          <xdr:col>14</xdr:col>
          <xdr:colOff>685800</xdr:colOff>
          <xdr:row>124</xdr:row>
          <xdr:rowOff>190500</xdr:rowOff>
        </xdr:to>
        <xdr:sp macro="" textlink="">
          <xdr:nvSpPr>
            <xdr:cNvPr id="2283" name="UpMember1_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="" xmlns:a16="http://schemas.microsoft.com/office/drawing/2014/main" id="{00000000-0008-0000-00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Up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123</xdr:row>
          <xdr:rowOff>47625</xdr:rowOff>
        </xdr:from>
        <xdr:to>
          <xdr:col>15</xdr:col>
          <xdr:colOff>685800</xdr:colOff>
          <xdr:row>124</xdr:row>
          <xdr:rowOff>190500</xdr:rowOff>
        </xdr:to>
        <xdr:sp macro="" textlink="">
          <xdr:nvSpPr>
            <xdr:cNvPr id="2284" name="DownMember1_5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="" xmlns:a16="http://schemas.microsoft.com/office/drawing/2014/main" id="{00000000-0008-0000-00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Down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126</xdr:row>
          <xdr:rowOff>47625</xdr:rowOff>
        </xdr:from>
        <xdr:to>
          <xdr:col>12</xdr:col>
          <xdr:colOff>685800</xdr:colOff>
          <xdr:row>128</xdr:row>
          <xdr:rowOff>0</xdr:rowOff>
        </xdr:to>
        <xdr:sp macro="" textlink="">
          <xdr:nvSpPr>
            <xdr:cNvPr id="2286" name="AddedMember1_6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="" xmlns:a16="http://schemas.microsoft.com/office/drawing/2014/main" id="{00000000-0008-0000-00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704850</xdr:colOff>
          <xdr:row>126</xdr:row>
          <xdr:rowOff>47625</xdr:rowOff>
        </xdr:from>
        <xdr:to>
          <xdr:col>13</xdr:col>
          <xdr:colOff>676275</xdr:colOff>
          <xdr:row>128</xdr:row>
          <xdr:rowOff>0</xdr:rowOff>
        </xdr:to>
        <xdr:sp macro="" textlink="">
          <xdr:nvSpPr>
            <xdr:cNvPr id="2287" name="ChangeMember1_6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="" xmlns:a16="http://schemas.microsoft.com/office/drawing/2014/main" id="{00000000-0008-0000-00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Change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126</xdr:row>
          <xdr:rowOff>47625</xdr:rowOff>
        </xdr:from>
        <xdr:to>
          <xdr:col>14</xdr:col>
          <xdr:colOff>685800</xdr:colOff>
          <xdr:row>128</xdr:row>
          <xdr:rowOff>0</xdr:rowOff>
        </xdr:to>
        <xdr:sp macro="" textlink="">
          <xdr:nvSpPr>
            <xdr:cNvPr id="2288" name="UpMember1_6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="" xmlns:a16="http://schemas.microsoft.com/office/drawing/2014/main" id="{00000000-0008-0000-00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Up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126</xdr:row>
          <xdr:rowOff>47625</xdr:rowOff>
        </xdr:from>
        <xdr:to>
          <xdr:col>15</xdr:col>
          <xdr:colOff>685800</xdr:colOff>
          <xdr:row>128</xdr:row>
          <xdr:rowOff>0</xdr:rowOff>
        </xdr:to>
        <xdr:sp macro="" textlink="">
          <xdr:nvSpPr>
            <xdr:cNvPr id="2289" name="DownMember1_6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="" xmlns:a16="http://schemas.microsoft.com/office/drawing/2014/main" id="{00000000-0008-0000-00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Down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130</xdr:row>
          <xdr:rowOff>0</xdr:rowOff>
        </xdr:from>
        <xdr:to>
          <xdr:col>12</xdr:col>
          <xdr:colOff>685800</xdr:colOff>
          <xdr:row>131</xdr:row>
          <xdr:rowOff>0</xdr:rowOff>
        </xdr:to>
        <xdr:sp macro="" textlink="">
          <xdr:nvSpPr>
            <xdr:cNvPr id="2291" name="AddedMember1_7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="" xmlns:a16="http://schemas.microsoft.com/office/drawing/2014/main" id="{00000000-0008-0000-00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704850</xdr:colOff>
          <xdr:row>130</xdr:row>
          <xdr:rowOff>0</xdr:rowOff>
        </xdr:from>
        <xdr:to>
          <xdr:col>13</xdr:col>
          <xdr:colOff>676275</xdr:colOff>
          <xdr:row>131</xdr:row>
          <xdr:rowOff>0</xdr:rowOff>
        </xdr:to>
        <xdr:sp macro="" textlink="">
          <xdr:nvSpPr>
            <xdr:cNvPr id="2292" name="ChangeMember1_7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="" xmlns:a16="http://schemas.microsoft.com/office/drawing/2014/main" id="{00000000-0008-0000-00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Change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130</xdr:row>
          <xdr:rowOff>0</xdr:rowOff>
        </xdr:from>
        <xdr:to>
          <xdr:col>14</xdr:col>
          <xdr:colOff>685800</xdr:colOff>
          <xdr:row>131</xdr:row>
          <xdr:rowOff>0</xdr:rowOff>
        </xdr:to>
        <xdr:sp macro="" textlink="">
          <xdr:nvSpPr>
            <xdr:cNvPr id="2293" name="UpMember1_7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="" xmlns:a16="http://schemas.microsoft.com/office/drawing/2014/main" id="{00000000-0008-0000-00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Up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130</xdr:row>
          <xdr:rowOff>0</xdr:rowOff>
        </xdr:from>
        <xdr:to>
          <xdr:col>15</xdr:col>
          <xdr:colOff>685800</xdr:colOff>
          <xdr:row>131</xdr:row>
          <xdr:rowOff>0</xdr:rowOff>
        </xdr:to>
        <xdr:sp macro="" textlink="">
          <xdr:nvSpPr>
            <xdr:cNvPr id="2294" name="DownMember1_7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="" xmlns:a16="http://schemas.microsoft.com/office/drawing/2014/main" id="{00000000-0008-0000-00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Down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133</xdr:row>
          <xdr:rowOff>0</xdr:rowOff>
        </xdr:from>
        <xdr:to>
          <xdr:col>12</xdr:col>
          <xdr:colOff>685800</xdr:colOff>
          <xdr:row>134</xdr:row>
          <xdr:rowOff>0</xdr:rowOff>
        </xdr:to>
        <xdr:sp macro="" textlink="">
          <xdr:nvSpPr>
            <xdr:cNvPr id="2296" name="AddedMember1_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="" xmlns:a16="http://schemas.microsoft.com/office/drawing/2014/main" id="{00000000-0008-0000-00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704850</xdr:colOff>
          <xdr:row>133</xdr:row>
          <xdr:rowOff>0</xdr:rowOff>
        </xdr:from>
        <xdr:to>
          <xdr:col>13</xdr:col>
          <xdr:colOff>676275</xdr:colOff>
          <xdr:row>134</xdr:row>
          <xdr:rowOff>0</xdr:rowOff>
        </xdr:to>
        <xdr:sp macro="" textlink="">
          <xdr:nvSpPr>
            <xdr:cNvPr id="2297" name="ChangeMember1_8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="" xmlns:a16="http://schemas.microsoft.com/office/drawing/2014/main" id="{00000000-0008-0000-00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Change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133</xdr:row>
          <xdr:rowOff>0</xdr:rowOff>
        </xdr:from>
        <xdr:to>
          <xdr:col>14</xdr:col>
          <xdr:colOff>685800</xdr:colOff>
          <xdr:row>134</xdr:row>
          <xdr:rowOff>0</xdr:rowOff>
        </xdr:to>
        <xdr:sp macro="" textlink="">
          <xdr:nvSpPr>
            <xdr:cNvPr id="2298" name="UpMember1_8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="" xmlns:a16="http://schemas.microsoft.com/office/drawing/2014/main" id="{00000000-0008-0000-00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Up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133</xdr:row>
          <xdr:rowOff>0</xdr:rowOff>
        </xdr:from>
        <xdr:to>
          <xdr:col>15</xdr:col>
          <xdr:colOff>685800</xdr:colOff>
          <xdr:row>134</xdr:row>
          <xdr:rowOff>0</xdr:rowOff>
        </xdr:to>
        <xdr:sp macro="" textlink="">
          <xdr:nvSpPr>
            <xdr:cNvPr id="2299" name="DownMember1_8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="" xmlns:a16="http://schemas.microsoft.com/office/drawing/2014/main" id="{00000000-0008-0000-00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Down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136</xdr:row>
          <xdr:rowOff>0</xdr:rowOff>
        </xdr:from>
        <xdr:to>
          <xdr:col>12</xdr:col>
          <xdr:colOff>685800</xdr:colOff>
          <xdr:row>137</xdr:row>
          <xdr:rowOff>9525</xdr:rowOff>
        </xdr:to>
        <xdr:sp macro="" textlink="">
          <xdr:nvSpPr>
            <xdr:cNvPr id="2301" name="AddedMember1_9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="" xmlns:a16="http://schemas.microsoft.com/office/drawing/2014/main" id="{00000000-0008-0000-00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704850</xdr:colOff>
          <xdr:row>136</xdr:row>
          <xdr:rowOff>0</xdr:rowOff>
        </xdr:from>
        <xdr:to>
          <xdr:col>13</xdr:col>
          <xdr:colOff>676275</xdr:colOff>
          <xdr:row>137</xdr:row>
          <xdr:rowOff>9525</xdr:rowOff>
        </xdr:to>
        <xdr:sp macro="" textlink="">
          <xdr:nvSpPr>
            <xdr:cNvPr id="2302" name="ChangeMember1_9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="" xmlns:a16="http://schemas.microsoft.com/office/drawing/2014/main" id="{00000000-0008-0000-00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Change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136</xdr:row>
          <xdr:rowOff>0</xdr:rowOff>
        </xdr:from>
        <xdr:to>
          <xdr:col>14</xdr:col>
          <xdr:colOff>685800</xdr:colOff>
          <xdr:row>137</xdr:row>
          <xdr:rowOff>9525</xdr:rowOff>
        </xdr:to>
        <xdr:sp macro="" textlink="">
          <xdr:nvSpPr>
            <xdr:cNvPr id="2303" name="UpMember1_9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="" xmlns:a16="http://schemas.microsoft.com/office/drawing/2014/main" id="{00000000-0008-0000-00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Up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136</xdr:row>
          <xdr:rowOff>0</xdr:rowOff>
        </xdr:from>
        <xdr:to>
          <xdr:col>15</xdr:col>
          <xdr:colOff>685800</xdr:colOff>
          <xdr:row>137</xdr:row>
          <xdr:rowOff>9525</xdr:rowOff>
        </xdr:to>
        <xdr:sp macro="" textlink="">
          <xdr:nvSpPr>
            <xdr:cNvPr id="2304" name="DownMember1_9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="" xmlns:a16="http://schemas.microsoft.com/office/drawing/2014/main" id="{00000000-0008-0000-00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Down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138</xdr:row>
          <xdr:rowOff>47625</xdr:rowOff>
        </xdr:from>
        <xdr:to>
          <xdr:col>12</xdr:col>
          <xdr:colOff>685800</xdr:colOff>
          <xdr:row>140</xdr:row>
          <xdr:rowOff>0</xdr:rowOff>
        </xdr:to>
        <xdr:sp macro="" textlink="">
          <xdr:nvSpPr>
            <xdr:cNvPr id="2306" name="AddedMember1_10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="" xmlns:a16="http://schemas.microsoft.com/office/drawing/2014/main" id="{00000000-0008-0000-00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704850</xdr:colOff>
          <xdr:row>138</xdr:row>
          <xdr:rowOff>47625</xdr:rowOff>
        </xdr:from>
        <xdr:to>
          <xdr:col>13</xdr:col>
          <xdr:colOff>676275</xdr:colOff>
          <xdr:row>140</xdr:row>
          <xdr:rowOff>0</xdr:rowOff>
        </xdr:to>
        <xdr:sp macro="" textlink="">
          <xdr:nvSpPr>
            <xdr:cNvPr id="2307" name="ChangeMember1_10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="" xmlns:a16="http://schemas.microsoft.com/office/drawing/2014/main" id="{00000000-0008-0000-00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Change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138</xdr:row>
          <xdr:rowOff>47625</xdr:rowOff>
        </xdr:from>
        <xdr:to>
          <xdr:col>14</xdr:col>
          <xdr:colOff>685800</xdr:colOff>
          <xdr:row>140</xdr:row>
          <xdr:rowOff>0</xdr:rowOff>
        </xdr:to>
        <xdr:sp macro="" textlink="">
          <xdr:nvSpPr>
            <xdr:cNvPr id="2308" name="UpMember1_1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="" xmlns:a16="http://schemas.microsoft.com/office/drawing/2014/main" id="{00000000-0008-0000-00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Up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138</xdr:row>
          <xdr:rowOff>47625</xdr:rowOff>
        </xdr:from>
        <xdr:to>
          <xdr:col>15</xdr:col>
          <xdr:colOff>685800</xdr:colOff>
          <xdr:row>140</xdr:row>
          <xdr:rowOff>0</xdr:rowOff>
        </xdr:to>
        <xdr:sp macro="" textlink="">
          <xdr:nvSpPr>
            <xdr:cNvPr id="2309" name="DownMember1_10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="" xmlns:a16="http://schemas.microsoft.com/office/drawing/2014/main" id="{00000000-0008-0000-00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Down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142</xdr:row>
          <xdr:rowOff>0</xdr:rowOff>
        </xdr:from>
        <xdr:to>
          <xdr:col>12</xdr:col>
          <xdr:colOff>685800</xdr:colOff>
          <xdr:row>143</xdr:row>
          <xdr:rowOff>0</xdr:rowOff>
        </xdr:to>
        <xdr:sp macro="" textlink="">
          <xdr:nvSpPr>
            <xdr:cNvPr id="2311" name="AddedMember1_11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="" xmlns:a16="http://schemas.microsoft.com/office/drawing/2014/main" id="{00000000-0008-0000-00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704850</xdr:colOff>
          <xdr:row>142</xdr:row>
          <xdr:rowOff>0</xdr:rowOff>
        </xdr:from>
        <xdr:to>
          <xdr:col>13</xdr:col>
          <xdr:colOff>676275</xdr:colOff>
          <xdr:row>143</xdr:row>
          <xdr:rowOff>0</xdr:rowOff>
        </xdr:to>
        <xdr:sp macro="" textlink="">
          <xdr:nvSpPr>
            <xdr:cNvPr id="2312" name="ChangeMember1_11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="" xmlns:a16="http://schemas.microsoft.com/office/drawing/2014/main" id="{00000000-0008-0000-00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Change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142</xdr:row>
          <xdr:rowOff>0</xdr:rowOff>
        </xdr:from>
        <xdr:to>
          <xdr:col>14</xdr:col>
          <xdr:colOff>685800</xdr:colOff>
          <xdr:row>143</xdr:row>
          <xdr:rowOff>0</xdr:rowOff>
        </xdr:to>
        <xdr:sp macro="" textlink="">
          <xdr:nvSpPr>
            <xdr:cNvPr id="2313" name="UpMember1_11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="" xmlns:a16="http://schemas.microsoft.com/office/drawing/2014/main" id="{00000000-0008-0000-00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Up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142</xdr:row>
          <xdr:rowOff>0</xdr:rowOff>
        </xdr:from>
        <xdr:to>
          <xdr:col>15</xdr:col>
          <xdr:colOff>685800</xdr:colOff>
          <xdr:row>143</xdr:row>
          <xdr:rowOff>0</xdr:rowOff>
        </xdr:to>
        <xdr:sp macro="" textlink="">
          <xdr:nvSpPr>
            <xdr:cNvPr id="2314" name="DownMember1_11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="" xmlns:a16="http://schemas.microsoft.com/office/drawing/2014/main" id="{00000000-0008-0000-00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Down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145</xdr:row>
          <xdr:rowOff>0</xdr:rowOff>
        </xdr:from>
        <xdr:to>
          <xdr:col>12</xdr:col>
          <xdr:colOff>685800</xdr:colOff>
          <xdr:row>146</xdr:row>
          <xdr:rowOff>0</xdr:rowOff>
        </xdr:to>
        <xdr:sp macro="" textlink="">
          <xdr:nvSpPr>
            <xdr:cNvPr id="2316" name="AddedMember1_12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="" xmlns:a16="http://schemas.microsoft.com/office/drawing/2014/main" id="{00000000-0008-0000-0000-00000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704850</xdr:colOff>
          <xdr:row>145</xdr:row>
          <xdr:rowOff>0</xdr:rowOff>
        </xdr:from>
        <xdr:to>
          <xdr:col>13</xdr:col>
          <xdr:colOff>676275</xdr:colOff>
          <xdr:row>146</xdr:row>
          <xdr:rowOff>0</xdr:rowOff>
        </xdr:to>
        <xdr:sp macro="" textlink="">
          <xdr:nvSpPr>
            <xdr:cNvPr id="2317" name="ChangeMember1_12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="" xmlns:a16="http://schemas.microsoft.com/office/drawing/2014/main" id="{00000000-0008-0000-00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Change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145</xdr:row>
          <xdr:rowOff>0</xdr:rowOff>
        </xdr:from>
        <xdr:to>
          <xdr:col>14</xdr:col>
          <xdr:colOff>685800</xdr:colOff>
          <xdr:row>146</xdr:row>
          <xdr:rowOff>0</xdr:rowOff>
        </xdr:to>
        <xdr:sp macro="" textlink="">
          <xdr:nvSpPr>
            <xdr:cNvPr id="2318" name="UpMember1_12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="" xmlns:a16="http://schemas.microsoft.com/office/drawing/2014/main" id="{00000000-0008-0000-00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Up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145</xdr:row>
          <xdr:rowOff>0</xdr:rowOff>
        </xdr:from>
        <xdr:to>
          <xdr:col>15</xdr:col>
          <xdr:colOff>685800</xdr:colOff>
          <xdr:row>146</xdr:row>
          <xdr:rowOff>0</xdr:rowOff>
        </xdr:to>
        <xdr:sp macro="" textlink="">
          <xdr:nvSpPr>
            <xdr:cNvPr id="2319" name="DownMember1_12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="" xmlns:a16="http://schemas.microsoft.com/office/drawing/2014/main" id="{00000000-0008-0000-00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Down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247650</xdr:colOff>
          <xdr:row>0</xdr:row>
          <xdr:rowOff>0</xdr:rowOff>
        </xdr:to>
        <xdr:sp macro="" textlink="">
          <xdr:nvSpPr>
            <xdr:cNvPr id="1025" name="FPMExcelClientSheetOptionstb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247650</xdr:colOff>
          <xdr:row>0</xdr:row>
          <xdr:rowOff>0</xdr:rowOff>
        </xdr:to>
        <xdr:sp macro="" textlink="">
          <xdr:nvSpPr>
            <xdr:cNvPr id="1026" name="ConnectionDescriptorsInfotb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247650</xdr:colOff>
          <xdr:row>0</xdr:row>
          <xdr:rowOff>0</xdr:rowOff>
        </xdr:to>
        <xdr:sp macro="" textlink="">
          <xdr:nvSpPr>
            <xdr:cNvPr id="1027" name="MultipleReportManagerInfotb1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247650</xdr:colOff>
          <xdr:row>0</xdr:row>
          <xdr:rowOff>0</xdr:rowOff>
        </xdr:to>
        <xdr:sp macro="" textlink="">
          <xdr:nvSpPr>
            <xdr:cNvPr id="1028" name="AnalyzerDynReport000tb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0</xdr:row>
          <xdr:rowOff>0</xdr:rowOff>
        </xdr:to>
        <xdr:sp macro="" textlink="">
          <xdr:nvSpPr>
            <xdr:cNvPr id="1029" name="ReportSubmitManagerControltb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=""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0</xdr:row>
          <xdr:rowOff>0</xdr:rowOff>
        </xdr:to>
        <xdr:sp macro="" textlink="">
          <xdr:nvSpPr>
            <xdr:cNvPr id="1030" name="ReportSubmitControl_1tb1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=""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14</xdr:col>
      <xdr:colOff>0</xdr:colOff>
      <xdr:row>14</xdr:row>
      <xdr:rowOff>28575</xdr:rowOff>
    </xdr:from>
    <xdr:to>
      <xdr:col>14</xdr:col>
      <xdr:colOff>1466850</xdr:colOff>
      <xdr:row>14</xdr:row>
      <xdr:rowOff>514350</xdr:rowOff>
    </xdr:to>
    <xdr:pic>
      <xdr:nvPicPr>
        <xdr:cNvPr id="10" name="Kuva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06600" y="3171825"/>
          <a:ext cx="146685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4.xml"/><Relationship Id="rId117" Type="http://schemas.openxmlformats.org/officeDocument/2006/relationships/ctrlProp" Target="../ctrlProps/ctrlProp105.xml"/><Relationship Id="rId21" Type="http://schemas.openxmlformats.org/officeDocument/2006/relationships/ctrlProp" Target="../ctrlProps/ctrlProp9.xml"/><Relationship Id="rId42" Type="http://schemas.openxmlformats.org/officeDocument/2006/relationships/ctrlProp" Target="../ctrlProps/ctrlProp30.xml"/><Relationship Id="rId47" Type="http://schemas.openxmlformats.org/officeDocument/2006/relationships/ctrlProp" Target="../ctrlProps/ctrlProp35.xml"/><Relationship Id="rId63" Type="http://schemas.openxmlformats.org/officeDocument/2006/relationships/ctrlProp" Target="../ctrlProps/ctrlProp51.xml"/><Relationship Id="rId68" Type="http://schemas.openxmlformats.org/officeDocument/2006/relationships/ctrlProp" Target="../ctrlProps/ctrlProp56.xml"/><Relationship Id="rId84" Type="http://schemas.openxmlformats.org/officeDocument/2006/relationships/ctrlProp" Target="../ctrlProps/ctrlProp72.xml"/><Relationship Id="rId89" Type="http://schemas.openxmlformats.org/officeDocument/2006/relationships/ctrlProp" Target="../ctrlProps/ctrlProp77.xml"/><Relationship Id="rId112" Type="http://schemas.openxmlformats.org/officeDocument/2006/relationships/ctrlProp" Target="../ctrlProps/ctrlProp100.xml"/><Relationship Id="rId16" Type="http://schemas.openxmlformats.org/officeDocument/2006/relationships/ctrlProp" Target="../ctrlProps/ctrlProp4.xml"/><Relationship Id="rId107" Type="http://schemas.openxmlformats.org/officeDocument/2006/relationships/ctrlProp" Target="../ctrlProps/ctrlProp95.xml"/><Relationship Id="rId11" Type="http://schemas.openxmlformats.org/officeDocument/2006/relationships/control" Target="../activeX/activeX4.xml"/><Relationship Id="rId32" Type="http://schemas.openxmlformats.org/officeDocument/2006/relationships/ctrlProp" Target="../ctrlProps/ctrlProp20.xml"/><Relationship Id="rId37" Type="http://schemas.openxmlformats.org/officeDocument/2006/relationships/ctrlProp" Target="../ctrlProps/ctrlProp25.xml"/><Relationship Id="rId53" Type="http://schemas.openxmlformats.org/officeDocument/2006/relationships/ctrlProp" Target="../ctrlProps/ctrlProp41.xml"/><Relationship Id="rId58" Type="http://schemas.openxmlformats.org/officeDocument/2006/relationships/ctrlProp" Target="../ctrlProps/ctrlProp46.xml"/><Relationship Id="rId74" Type="http://schemas.openxmlformats.org/officeDocument/2006/relationships/ctrlProp" Target="../ctrlProps/ctrlProp62.xml"/><Relationship Id="rId79" Type="http://schemas.openxmlformats.org/officeDocument/2006/relationships/ctrlProp" Target="../ctrlProps/ctrlProp67.xml"/><Relationship Id="rId102" Type="http://schemas.openxmlformats.org/officeDocument/2006/relationships/ctrlProp" Target="../ctrlProps/ctrlProp90.xml"/><Relationship Id="rId5" Type="http://schemas.openxmlformats.org/officeDocument/2006/relationships/control" Target="../activeX/activeX1.xml"/><Relationship Id="rId90" Type="http://schemas.openxmlformats.org/officeDocument/2006/relationships/ctrlProp" Target="../ctrlProps/ctrlProp78.xml"/><Relationship Id="rId95" Type="http://schemas.openxmlformats.org/officeDocument/2006/relationships/ctrlProp" Target="../ctrlProps/ctrlProp83.xml"/><Relationship Id="rId22" Type="http://schemas.openxmlformats.org/officeDocument/2006/relationships/ctrlProp" Target="../ctrlProps/ctrlProp10.xml"/><Relationship Id="rId27" Type="http://schemas.openxmlformats.org/officeDocument/2006/relationships/ctrlProp" Target="../ctrlProps/ctrlProp15.xml"/><Relationship Id="rId43" Type="http://schemas.openxmlformats.org/officeDocument/2006/relationships/ctrlProp" Target="../ctrlProps/ctrlProp31.xml"/><Relationship Id="rId48" Type="http://schemas.openxmlformats.org/officeDocument/2006/relationships/ctrlProp" Target="../ctrlProps/ctrlProp36.xml"/><Relationship Id="rId64" Type="http://schemas.openxmlformats.org/officeDocument/2006/relationships/ctrlProp" Target="../ctrlProps/ctrlProp52.xml"/><Relationship Id="rId69" Type="http://schemas.openxmlformats.org/officeDocument/2006/relationships/ctrlProp" Target="../ctrlProps/ctrlProp57.xml"/><Relationship Id="rId113" Type="http://schemas.openxmlformats.org/officeDocument/2006/relationships/ctrlProp" Target="../ctrlProps/ctrlProp101.xml"/><Relationship Id="rId118" Type="http://schemas.openxmlformats.org/officeDocument/2006/relationships/ctrlProp" Target="../ctrlProps/ctrlProp106.xml"/><Relationship Id="rId80" Type="http://schemas.openxmlformats.org/officeDocument/2006/relationships/ctrlProp" Target="../ctrlProps/ctrlProp68.xml"/><Relationship Id="rId85" Type="http://schemas.openxmlformats.org/officeDocument/2006/relationships/ctrlProp" Target="../ctrlProps/ctrlProp73.xml"/><Relationship Id="rId12" Type="http://schemas.openxmlformats.org/officeDocument/2006/relationships/image" Target="../media/image4.emf"/><Relationship Id="rId17" Type="http://schemas.openxmlformats.org/officeDocument/2006/relationships/ctrlProp" Target="../ctrlProps/ctrlProp5.xml"/><Relationship Id="rId33" Type="http://schemas.openxmlformats.org/officeDocument/2006/relationships/ctrlProp" Target="../ctrlProps/ctrlProp21.xml"/><Relationship Id="rId38" Type="http://schemas.openxmlformats.org/officeDocument/2006/relationships/ctrlProp" Target="../ctrlProps/ctrlProp26.xml"/><Relationship Id="rId59" Type="http://schemas.openxmlformats.org/officeDocument/2006/relationships/ctrlProp" Target="../ctrlProps/ctrlProp47.xml"/><Relationship Id="rId103" Type="http://schemas.openxmlformats.org/officeDocument/2006/relationships/ctrlProp" Target="../ctrlProps/ctrlProp91.xml"/><Relationship Id="rId108" Type="http://schemas.openxmlformats.org/officeDocument/2006/relationships/ctrlProp" Target="../ctrlProps/ctrlProp96.xml"/><Relationship Id="rId54" Type="http://schemas.openxmlformats.org/officeDocument/2006/relationships/ctrlProp" Target="../ctrlProps/ctrlProp42.xml"/><Relationship Id="rId70" Type="http://schemas.openxmlformats.org/officeDocument/2006/relationships/ctrlProp" Target="../ctrlProps/ctrlProp58.xml"/><Relationship Id="rId75" Type="http://schemas.openxmlformats.org/officeDocument/2006/relationships/ctrlProp" Target="../ctrlProps/ctrlProp63.xml"/><Relationship Id="rId91" Type="http://schemas.openxmlformats.org/officeDocument/2006/relationships/ctrlProp" Target="../ctrlProps/ctrlProp79.xml"/><Relationship Id="rId96" Type="http://schemas.openxmlformats.org/officeDocument/2006/relationships/ctrlProp" Target="../ctrlProps/ctrlProp84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23" Type="http://schemas.openxmlformats.org/officeDocument/2006/relationships/ctrlProp" Target="../ctrlProps/ctrlProp11.xml"/><Relationship Id="rId28" Type="http://schemas.openxmlformats.org/officeDocument/2006/relationships/ctrlProp" Target="../ctrlProps/ctrlProp16.xml"/><Relationship Id="rId49" Type="http://schemas.openxmlformats.org/officeDocument/2006/relationships/ctrlProp" Target="../ctrlProps/ctrlProp37.xml"/><Relationship Id="rId114" Type="http://schemas.openxmlformats.org/officeDocument/2006/relationships/ctrlProp" Target="../ctrlProps/ctrlProp102.xml"/><Relationship Id="rId119" Type="http://schemas.openxmlformats.org/officeDocument/2006/relationships/ctrlProp" Target="../ctrlProps/ctrlProp107.xml"/><Relationship Id="rId44" Type="http://schemas.openxmlformats.org/officeDocument/2006/relationships/ctrlProp" Target="../ctrlProps/ctrlProp32.xml"/><Relationship Id="rId60" Type="http://schemas.openxmlformats.org/officeDocument/2006/relationships/ctrlProp" Target="../ctrlProps/ctrlProp48.xml"/><Relationship Id="rId65" Type="http://schemas.openxmlformats.org/officeDocument/2006/relationships/ctrlProp" Target="../ctrlProps/ctrlProp53.xml"/><Relationship Id="rId81" Type="http://schemas.openxmlformats.org/officeDocument/2006/relationships/ctrlProp" Target="../ctrlProps/ctrlProp69.xml"/><Relationship Id="rId86" Type="http://schemas.openxmlformats.org/officeDocument/2006/relationships/ctrlProp" Target="../ctrlProps/ctrlProp74.xml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3.xml"/><Relationship Id="rId13" Type="http://schemas.openxmlformats.org/officeDocument/2006/relationships/ctrlProp" Target="../ctrlProps/ctrlProp1.xml"/><Relationship Id="rId18" Type="http://schemas.openxmlformats.org/officeDocument/2006/relationships/ctrlProp" Target="../ctrlProps/ctrlProp6.xml"/><Relationship Id="rId39" Type="http://schemas.openxmlformats.org/officeDocument/2006/relationships/ctrlProp" Target="../ctrlProps/ctrlProp27.xml"/><Relationship Id="rId109" Type="http://schemas.openxmlformats.org/officeDocument/2006/relationships/ctrlProp" Target="../ctrlProps/ctrlProp97.xml"/><Relationship Id="rId34" Type="http://schemas.openxmlformats.org/officeDocument/2006/relationships/ctrlProp" Target="../ctrlProps/ctrlProp22.xml"/><Relationship Id="rId50" Type="http://schemas.openxmlformats.org/officeDocument/2006/relationships/ctrlProp" Target="../ctrlProps/ctrlProp38.xml"/><Relationship Id="rId55" Type="http://schemas.openxmlformats.org/officeDocument/2006/relationships/ctrlProp" Target="../ctrlProps/ctrlProp43.xml"/><Relationship Id="rId76" Type="http://schemas.openxmlformats.org/officeDocument/2006/relationships/ctrlProp" Target="../ctrlProps/ctrlProp64.xml"/><Relationship Id="rId97" Type="http://schemas.openxmlformats.org/officeDocument/2006/relationships/ctrlProp" Target="../ctrlProps/ctrlProp85.xml"/><Relationship Id="rId104" Type="http://schemas.openxmlformats.org/officeDocument/2006/relationships/ctrlProp" Target="../ctrlProps/ctrlProp92.xml"/><Relationship Id="rId120" Type="http://schemas.openxmlformats.org/officeDocument/2006/relationships/ctrlProp" Target="../ctrlProps/ctrlProp108.xml"/><Relationship Id="rId7" Type="http://schemas.openxmlformats.org/officeDocument/2006/relationships/control" Target="../activeX/activeX2.xml"/><Relationship Id="rId71" Type="http://schemas.openxmlformats.org/officeDocument/2006/relationships/ctrlProp" Target="../ctrlProps/ctrlProp59.xml"/><Relationship Id="rId92" Type="http://schemas.openxmlformats.org/officeDocument/2006/relationships/ctrlProp" Target="../ctrlProps/ctrlProp80.xml"/><Relationship Id="rId2" Type="http://schemas.openxmlformats.org/officeDocument/2006/relationships/customProperty" Target="../customProperty1.bin"/><Relationship Id="rId29" Type="http://schemas.openxmlformats.org/officeDocument/2006/relationships/ctrlProp" Target="../ctrlProps/ctrlProp17.xml"/><Relationship Id="rId24" Type="http://schemas.openxmlformats.org/officeDocument/2006/relationships/ctrlProp" Target="../ctrlProps/ctrlProp12.xml"/><Relationship Id="rId40" Type="http://schemas.openxmlformats.org/officeDocument/2006/relationships/ctrlProp" Target="../ctrlProps/ctrlProp28.xml"/><Relationship Id="rId45" Type="http://schemas.openxmlformats.org/officeDocument/2006/relationships/ctrlProp" Target="../ctrlProps/ctrlProp33.xml"/><Relationship Id="rId66" Type="http://schemas.openxmlformats.org/officeDocument/2006/relationships/ctrlProp" Target="../ctrlProps/ctrlProp54.xml"/><Relationship Id="rId87" Type="http://schemas.openxmlformats.org/officeDocument/2006/relationships/ctrlProp" Target="../ctrlProps/ctrlProp75.xml"/><Relationship Id="rId110" Type="http://schemas.openxmlformats.org/officeDocument/2006/relationships/ctrlProp" Target="../ctrlProps/ctrlProp98.xml"/><Relationship Id="rId115" Type="http://schemas.openxmlformats.org/officeDocument/2006/relationships/ctrlProp" Target="../ctrlProps/ctrlProp103.xml"/><Relationship Id="rId61" Type="http://schemas.openxmlformats.org/officeDocument/2006/relationships/ctrlProp" Target="../ctrlProps/ctrlProp49.xml"/><Relationship Id="rId82" Type="http://schemas.openxmlformats.org/officeDocument/2006/relationships/ctrlProp" Target="../ctrlProps/ctrlProp70.xml"/><Relationship Id="rId19" Type="http://schemas.openxmlformats.org/officeDocument/2006/relationships/ctrlProp" Target="../ctrlProps/ctrlProp7.xml"/><Relationship Id="rId14" Type="http://schemas.openxmlformats.org/officeDocument/2006/relationships/ctrlProp" Target="../ctrlProps/ctrlProp2.xml"/><Relationship Id="rId30" Type="http://schemas.openxmlformats.org/officeDocument/2006/relationships/ctrlProp" Target="../ctrlProps/ctrlProp18.xml"/><Relationship Id="rId35" Type="http://schemas.openxmlformats.org/officeDocument/2006/relationships/ctrlProp" Target="../ctrlProps/ctrlProp23.xml"/><Relationship Id="rId56" Type="http://schemas.openxmlformats.org/officeDocument/2006/relationships/ctrlProp" Target="../ctrlProps/ctrlProp44.xml"/><Relationship Id="rId77" Type="http://schemas.openxmlformats.org/officeDocument/2006/relationships/ctrlProp" Target="../ctrlProps/ctrlProp65.xml"/><Relationship Id="rId100" Type="http://schemas.openxmlformats.org/officeDocument/2006/relationships/ctrlProp" Target="../ctrlProps/ctrlProp88.xml"/><Relationship Id="rId105" Type="http://schemas.openxmlformats.org/officeDocument/2006/relationships/ctrlProp" Target="../ctrlProps/ctrlProp93.xml"/><Relationship Id="rId8" Type="http://schemas.openxmlformats.org/officeDocument/2006/relationships/image" Target="../media/image2.emf"/><Relationship Id="rId51" Type="http://schemas.openxmlformats.org/officeDocument/2006/relationships/ctrlProp" Target="../ctrlProps/ctrlProp39.xml"/><Relationship Id="rId72" Type="http://schemas.openxmlformats.org/officeDocument/2006/relationships/ctrlProp" Target="../ctrlProps/ctrlProp60.xml"/><Relationship Id="rId93" Type="http://schemas.openxmlformats.org/officeDocument/2006/relationships/ctrlProp" Target="../ctrlProps/ctrlProp81.xml"/><Relationship Id="rId98" Type="http://schemas.openxmlformats.org/officeDocument/2006/relationships/ctrlProp" Target="../ctrlProps/ctrlProp86.xml"/><Relationship Id="rId121" Type="http://schemas.openxmlformats.org/officeDocument/2006/relationships/comments" Target="../comments1.xml"/><Relationship Id="rId3" Type="http://schemas.openxmlformats.org/officeDocument/2006/relationships/drawing" Target="../drawings/drawing1.xml"/><Relationship Id="rId25" Type="http://schemas.openxmlformats.org/officeDocument/2006/relationships/ctrlProp" Target="../ctrlProps/ctrlProp13.xml"/><Relationship Id="rId46" Type="http://schemas.openxmlformats.org/officeDocument/2006/relationships/ctrlProp" Target="../ctrlProps/ctrlProp34.xml"/><Relationship Id="rId67" Type="http://schemas.openxmlformats.org/officeDocument/2006/relationships/ctrlProp" Target="../ctrlProps/ctrlProp55.xml"/><Relationship Id="rId116" Type="http://schemas.openxmlformats.org/officeDocument/2006/relationships/ctrlProp" Target="../ctrlProps/ctrlProp104.xml"/><Relationship Id="rId20" Type="http://schemas.openxmlformats.org/officeDocument/2006/relationships/ctrlProp" Target="../ctrlProps/ctrlProp8.xml"/><Relationship Id="rId41" Type="http://schemas.openxmlformats.org/officeDocument/2006/relationships/ctrlProp" Target="../ctrlProps/ctrlProp29.xml"/><Relationship Id="rId62" Type="http://schemas.openxmlformats.org/officeDocument/2006/relationships/ctrlProp" Target="../ctrlProps/ctrlProp50.xml"/><Relationship Id="rId83" Type="http://schemas.openxmlformats.org/officeDocument/2006/relationships/ctrlProp" Target="../ctrlProps/ctrlProp71.xml"/><Relationship Id="rId88" Type="http://schemas.openxmlformats.org/officeDocument/2006/relationships/ctrlProp" Target="../ctrlProps/ctrlProp76.xml"/><Relationship Id="rId111" Type="http://schemas.openxmlformats.org/officeDocument/2006/relationships/ctrlProp" Target="../ctrlProps/ctrlProp99.xml"/><Relationship Id="rId15" Type="http://schemas.openxmlformats.org/officeDocument/2006/relationships/ctrlProp" Target="../ctrlProps/ctrlProp3.xml"/><Relationship Id="rId36" Type="http://schemas.openxmlformats.org/officeDocument/2006/relationships/ctrlProp" Target="../ctrlProps/ctrlProp24.xml"/><Relationship Id="rId57" Type="http://schemas.openxmlformats.org/officeDocument/2006/relationships/ctrlProp" Target="../ctrlProps/ctrlProp45.xml"/><Relationship Id="rId106" Type="http://schemas.openxmlformats.org/officeDocument/2006/relationships/ctrlProp" Target="../ctrlProps/ctrlProp94.xml"/><Relationship Id="rId10" Type="http://schemas.openxmlformats.org/officeDocument/2006/relationships/image" Target="../media/image3.emf"/><Relationship Id="rId31" Type="http://schemas.openxmlformats.org/officeDocument/2006/relationships/ctrlProp" Target="../ctrlProps/ctrlProp19.xml"/><Relationship Id="rId52" Type="http://schemas.openxmlformats.org/officeDocument/2006/relationships/ctrlProp" Target="../ctrlProps/ctrlProp40.xml"/><Relationship Id="rId73" Type="http://schemas.openxmlformats.org/officeDocument/2006/relationships/ctrlProp" Target="../ctrlProps/ctrlProp61.xml"/><Relationship Id="rId78" Type="http://schemas.openxmlformats.org/officeDocument/2006/relationships/ctrlProp" Target="../ctrlProps/ctrlProp66.xml"/><Relationship Id="rId94" Type="http://schemas.openxmlformats.org/officeDocument/2006/relationships/ctrlProp" Target="../ctrlProps/ctrlProp82.xml"/><Relationship Id="rId99" Type="http://schemas.openxmlformats.org/officeDocument/2006/relationships/ctrlProp" Target="../ctrlProps/ctrlProp87.xml"/><Relationship Id="rId101" Type="http://schemas.openxmlformats.org/officeDocument/2006/relationships/ctrlProp" Target="../ctrlProps/ctrlProp8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13" Type="http://schemas.openxmlformats.org/officeDocument/2006/relationships/image" Target="../media/image8.emf"/><Relationship Id="rId3" Type="http://schemas.openxmlformats.org/officeDocument/2006/relationships/customProperty" Target="../customProperty3.bin"/><Relationship Id="rId7" Type="http://schemas.openxmlformats.org/officeDocument/2006/relationships/image" Target="../media/image5.emf"/><Relationship Id="rId12" Type="http://schemas.openxmlformats.org/officeDocument/2006/relationships/control" Target="../activeX/activeX8.xml"/><Relationship Id="rId17" Type="http://schemas.openxmlformats.org/officeDocument/2006/relationships/image" Target="../media/image10.emf"/><Relationship Id="rId2" Type="http://schemas.openxmlformats.org/officeDocument/2006/relationships/customProperty" Target="../customProperty2.bin"/><Relationship Id="rId16" Type="http://schemas.openxmlformats.org/officeDocument/2006/relationships/control" Target="../activeX/activeX10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5.xml"/><Relationship Id="rId11" Type="http://schemas.openxmlformats.org/officeDocument/2006/relationships/image" Target="../media/image7.emf"/><Relationship Id="rId5" Type="http://schemas.openxmlformats.org/officeDocument/2006/relationships/vmlDrawing" Target="../drawings/vmlDrawing2.vml"/><Relationship Id="rId15" Type="http://schemas.openxmlformats.org/officeDocument/2006/relationships/image" Target="../media/image9.emf"/><Relationship Id="rId10" Type="http://schemas.openxmlformats.org/officeDocument/2006/relationships/control" Target="../activeX/activeX7.xml"/><Relationship Id="rId4" Type="http://schemas.openxmlformats.org/officeDocument/2006/relationships/drawing" Target="../drawings/drawing2.xml"/><Relationship Id="rId9" Type="http://schemas.openxmlformats.org/officeDocument/2006/relationships/image" Target="../media/image6.emf"/><Relationship Id="rId1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ul2"/>
  <dimension ref="A1:AB193"/>
  <sheetViews>
    <sheetView showGridLines="0" topLeftCell="A85" zoomScale="85" zoomScaleNormal="85" workbookViewId="0">
      <selection activeCell="Q134" sqref="Q134"/>
    </sheetView>
  </sheetViews>
  <sheetFormatPr defaultRowHeight="14.25" x14ac:dyDescent="0.2"/>
  <cols>
    <col min="1" max="1" width="1.7109375" style="2" customWidth="1"/>
    <col min="2" max="2" width="12.7109375" style="2" customWidth="1"/>
    <col min="3" max="3" width="15.7109375" style="2" customWidth="1"/>
    <col min="4" max="4" width="64.7109375" style="2" customWidth="1"/>
    <col min="5" max="5" width="3.28515625" style="2" customWidth="1"/>
    <col min="6" max="6" width="14.28515625" style="2" customWidth="1"/>
    <col min="7" max="7" width="3.28515625" style="2" customWidth="1"/>
    <col min="8" max="8" width="30.7109375" style="2" customWidth="1"/>
    <col min="9" max="9" width="3.28515625" style="2" customWidth="1"/>
    <col min="10" max="10" width="14.28515625" style="2" customWidth="1"/>
    <col min="11" max="11" width="3.28515625" style="2" customWidth="1"/>
    <col min="12" max="12" width="36.7109375" style="2" customWidth="1"/>
    <col min="13" max="16" width="10.7109375" style="2" customWidth="1"/>
    <col min="17" max="17" width="90.7109375" style="2" customWidth="1"/>
    <col min="18" max="27" width="9.140625" style="2"/>
    <col min="28" max="28" width="23.5703125" style="2" bestFit="1" customWidth="1"/>
    <col min="29" max="16384" width="9.140625" style="2"/>
  </cols>
  <sheetData>
    <row r="1" spans="1:28" ht="42" customHeight="1" x14ac:dyDescent="0.2">
      <c r="A1" s="3"/>
      <c r="B1" s="180" t="s">
        <v>38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AA1" s="1">
        <v>1</v>
      </c>
      <c r="AB1" s="1" t="b">
        <v>0</v>
      </c>
    </row>
    <row r="2" spans="1:28" ht="15.75" customHeight="1" x14ac:dyDescent="0.25">
      <c r="A2" s="40" t="s">
        <v>71</v>
      </c>
      <c r="B2" s="3"/>
      <c r="C2" s="3"/>
      <c r="D2" s="3"/>
      <c r="E2" s="3"/>
      <c r="F2"/>
      <c r="G2" s="3"/>
      <c r="H2" s="3"/>
      <c r="I2" s="3"/>
      <c r="J2" s="3"/>
      <c r="K2" s="3"/>
      <c r="L2" s="3"/>
    </row>
    <row r="3" spans="1:28" ht="15.75" customHeight="1" x14ac:dyDescent="0.2">
      <c r="A3" s="3"/>
      <c r="B3" s="4" t="s">
        <v>39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1:28" ht="18" customHeight="1" thickBo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28" ht="28.35" customHeight="1" x14ac:dyDescent="0.2">
      <c r="A5" s="3"/>
      <c r="B5" s="181" t="s">
        <v>40</v>
      </c>
      <c r="C5" s="182"/>
      <c r="D5" s="182"/>
      <c r="E5" s="182"/>
      <c r="F5" s="182"/>
      <c r="G5" s="182"/>
      <c r="H5" s="182"/>
      <c r="I5" s="182"/>
      <c r="J5" s="182"/>
      <c r="K5" s="182"/>
      <c r="L5" s="183"/>
      <c r="Q5" s="34" t="s">
        <v>64</v>
      </c>
    </row>
    <row r="6" spans="1:28" ht="28.35" customHeight="1" thickBot="1" x14ac:dyDescent="0.25">
      <c r="A6" s="3"/>
      <c r="B6" s="184"/>
      <c r="C6" s="185"/>
      <c r="D6" s="185"/>
      <c r="E6" s="185"/>
      <c r="F6" s="185"/>
      <c r="G6" s="185"/>
      <c r="H6" s="185"/>
      <c r="I6" s="185"/>
      <c r="J6" s="185"/>
      <c r="K6" s="185"/>
      <c r="L6" s="186"/>
      <c r="Q6" s="35" t="s">
        <v>65</v>
      </c>
    </row>
    <row r="7" spans="1:28" ht="21.95" customHeight="1" x14ac:dyDescent="0.2">
      <c r="A7" s="3"/>
      <c r="B7" s="179" t="s">
        <v>51</v>
      </c>
      <c r="C7" s="29"/>
      <c r="D7" s="29"/>
      <c r="E7" s="29"/>
      <c r="F7" s="29"/>
      <c r="G7" s="29"/>
      <c r="H7" s="29"/>
      <c r="I7" s="29"/>
      <c r="J7" s="29"/>
      <c r="K7" s="29"/>
      <c r="L7" s="30"/>
      <c r="Q7" s="154" t="s">
        <v>67</v>
      </c>
    </row>
    <row r="8" spans="1:28" ht="18" customHeight="1" x14ac:dyDescent="0.2">
      <c r="A8" s="3"/>
      <c r="B8" s="168"/>
      <c r="C8" s="14"/>
      <c r="D8" s="14"/>
      <c r="E8" s="14"/>
      <c r="F8" s="14"/>
      <c r="G8" s="14"/>
      <c r="H8" s="14"/>
      <c r="I8" s="14"/>
      <c r="J8" s="14"/>
      <c r="K8" s="14"/>
      <c r="L8" s="15"/>
      <c r="Q8" s="154"/>
    </row>
    <row r="9" spans="1:28" ht="17.100000000000001" customHeight="1" x14ac:dyDescent="0.2">
      <c r="A9" s="3"/>
      <c r="B9" s="168"/>
      <c r="C9" s="6"/>
      <c r="D9" s="7"/>
      <c r="E9" s="158" t="s">
        <v>41</v>
      </c>
      <c r="F9" s="159"/>
      <c r="G9" s="160"/>
      <c r="H9" s="5" t="s">
        <v>42</v>
      </c>
      <c r="I9" s="158" t="s">
        <v>43</v>
      </c>
      <c r="J9" s="159"/>
      <c r="K9" s="160"/>
      <c r="L9" s="16" t="s">
        <v>42</v>
      </c>
      <c r="Q9" s="154"/>
    </row>
    <row r="10" spans="1:28" ht="5.0999999999999996" customHeight="1" x14ac:dyDescent="0.2">
      <c r="A10" s="3"/>
      <c r="B10" s="168"/>
      <c r="C10" s="155"/>
      <c r="D10" s="14"/>
      <c r="E10" s="17"/>
      <c r="F10" s="17"/>
      <c r="G10" s="17"/>
      <c r="H10" s="10"/>
      <c r="I10" s="17"/>
      <c r="J10" s="17"/>
      <c r="K10" s="17"/>
      <c r="L10" s="15"/>
      <c r="Q10" s="154"/>
    </row>
    <row r="11" spans="1:28" ht="15.95" customHeight="1" x14ac:dyDescent="0.2">
      <c r="A11" s="3"/>
      <c r="B11" s="168"/>
      <c r="C11" s="156"/>
      <c r="D11" s="18" t="s">
        <v>45</v>
      </c>
      <c r="E11" s="17"/>
      <c r="F11" s="68" t="s">
        <v>46</v>
      </c>
      <c r="G11" s="17"/>
      <c r="H11" s="11" t="s">
        <v>47</v>
      </c>
      <c r="I11" s="17"/>
      <c r="J11" s="42" t="s">
        <v>48</v>
      </c>
      <c r="K11" s="17"/>
      <c r="L11" s="21" t="s">
        <v>47</v>
      </c>
      <c r="Q11" s="154"/>
    </row>
    <row r="12" spans="1:28" ht="5.0999999999999996" customHeight="1" x14ac:dyDescent="0.2">
      <c r="A12" s="3"/>
      <c r="B12" s="168"/>
      <c r="C12" s="157"/>
      <c r="D12" s="8"/>
      <c r="E12" s="9"/>
      <c r="F12" s="9"/>
      <c r="G12" s="9"/>
      <c r="H12" s="7"/>
      <c r="I12" s="9"/>
      <c r="J12" s="9"/>
      <c r="K12" s="9"/>
      <c r="L12" s="22"/>
      <c r="Q12" s="154"/>
    </row>
    <row r="13" spans="1:28" ht="5.0999999999999996" customHeight="1" x14ac:dyDescent="0.2">
      <c r="A13" s="3"/>
      <c r="B13" s="168"/>
      <c r="C13" s="156"/>
      <c r="D13" s="14"/>
      <c r="E13" s="17"/>
      <c r="F13" s="17"/>
      <c r="G13" s="17"/>
      <c r="H13" s="12"/>
      <c r="I13" s="17"/>
      <c r="J13" s="17"/>
      <c r="K13" s="17"/>
      <c r="L13" s="15"/>
      <c r="Q13" s="154"/>
    </row>
    <row r="14" spans="1:28" ht="15.95" customHeight="1" x14ac:dyDescent="0.2">
      <c r="A14" s="3"/>
      <c r="B14" s="168"/>
      <c r="C14" s="156"/>
      <c r="D14" s="18" t="s">
        <v>49</v>
      </c>
      <c r="E14" s="17"/>
      <c r="F14" s="19" t="s">
        <v>46</v>
      </c>
      <c r="G14" s="17"/>
      <c r="H14" s="11" t="s">
        <v>47</v>
      </c>
      <c r="I14" s="17"/>
      <c r="J14" s="20" t="s">
        <v>48</v>
      </c>
      <c r="K14" s="17"/>
      <c r="L14" s="21" t="s">
        <v>47</v>
      </c>
      <c r="Q14" s="154"/>
    </row>
    <row r="15" spans="1:28" ht="5.0999999999999996" customHeight="1" x14ac:dyDescent="0.2">
      <c r="A15" s="3"/>
      <c r="B15" s="168"/>
      <c r="C15" s="157"/>
      <c r="D15" s="8"/>
      <c r="E15" s="9"/>
      <c r="F15" s="9"/>
      <c r="G15" s="9"/>
      <c r="H15" s="7"/>
      <c r="I15" s="9"/>
      <c r="J15" s="9"/>
      <c r="K15" s="9"/>
      <c r="L15" s="22"/>
      <c r="Q15" s="154"/>
    </row>
    <row r="16" spans="1:28" ht="11.1" customHeight="1" x14ac:dyDescent="0.2">
      <c r="A16" s="3"/>
      <c r="B16" s="168"/>
      <c r="C16" s="156"/>
      <c r="D16" s="187" t="s">
        <v>50</v>
      </c>
      <c r="E16" s="17"/>
      <c r="F16" s="17"/>
      <c r="G16" s="17"/>
      <c r="H16" s="12"/>
      <c r="I16" s="17"/>
      <c r="J16" s="17"/>
      <c r="K16" s="17"/>
      <c r="L16" s="15"/>
      <c r="Q16" s="154"/>
    </row>
    <row r="17" spans="1:17" ht="11.1" customHeight="1" x14ac:dyDescent="0.2">
      <c r="A17" s="3"/>
      <c r="B17" s="168"/>
      <c r="C17" s="156"/>
      <c r="D17" s="187"/>
      <c r="E17" s="17"/>
      <c r="F17" s="17"/>
      <c r="G17" s="17"/>
      <c r="H17" s="12"/>
      <c r="I17" s="17"/>
      <c r="J17" s="17"/>
      <c r="K17" s="17"/>
      <c r="L17" s="15"/>
      <c r="Q17" s="154"/>
    </row>
    <row r="18" spans="1:17" ht="15.95" customHeight="1" x14ac:dyDescent="0.2">
      <c r="A18" s="3"/>
      <c r="B18" s="168"/>
      <c r="C18" s="13"/>
      <c r="D18" s="23" t="str">
        <f>IF(AA1=2, "Taso 1", IF(AB1=TRUE, IF(A26-1=0, "Alin taso","Alin taso -"&amp;(A26-1)), "Taso 1"))</f>
        <v>Taso 1</v>
      </c>
      <c r="E18" s="17"/>
      <c r="F18" s="19" t="s">
        <v>46</v>
      </c>
      <c r="G18" s="17"/>
      <c r="H18" s="11" t="s">
        <v>47</v>
      </c>
      <c r="I18" s="17"/>
      <c r="J18" s="20" t="s">
        <v>48</v>
      </c>
      <c r="K18" s="17"/>
      <c r="L18" s="21" t="s">
        <v>47</v>
      </c>
      <c r="Q18" s="154"/>
    </row>
    <row r="19" spans="1:17" ht="5.0999999999999996" customHeight="1" x14ac:dyDescent="0.2">
      <c r="A19" s="3"/>
      <c r="B19" s="168"/>
      <c r="C19" s="13"/>
      <c r="D19" s="8"/>
      <c r="E19" s="9"/>
      <c r="F19" s="9"/>
      <c r="G19" s="9"/>
      <c r="H19" s="7"/>
      <c r="I19" s="9"/>
      <c r="J19" s="9"/>
      <c r="K19" s="9"/>
      <c r="L19" s="22"/>
      <c r="Q19" s="154"/>
    </row>
    <row r="20" spans="1:17" ht="5.0999999999999996" customHeight="1" x14ac:dyDescent="0.25">
      <c r="A20" s="3"/>
      <c r="B20" s="168"/>
      <c r="C20" s="13"/>
      <c r="D20" s="14"/>
      <c r="E20" s="17"/>
      <c r="F20" s="17"/>
      <c r="G20" s="17"/>
      <c r="H20" s="12"/>
      <c r="I20" s="17"/>
      <c r="J20" s="17"/>
      <c r="K20" s="17"/>
      <c r="L20" s="15"/>
      <c r="Q20" s="36"/>
    </row>
    <row r="21" spans="1:17" ht="15.95" customHeight="1" x14ac:dyDescent="0.2">
      <c r="A21" s="3"/>
      <c r="B21" s="168"/>
      <c r="C21" s="13"/>
      <c r="D21" s="24" t="str">
        <f>IF(AA1=2, "Taso 2", IF(AB1=TRUE, IF(A26-2=0, "Alin taso","Alin taso -"&amp;(A26-2)), "Taso 2"))</f>
        <v>Taso 2</v>
      </c>
      <c r="E21" s="17"/>
      <c r="F21" s="19" t="s">
        <v>46</v>
      </c>
      <c r="G21" s="17"/>
      <c r="H21" s="11" t="s">
        <v>47</v>
      </c>
      <c r="I21" s="17"/>
      <c r="J21" s="20" t="s">
        <v>48</v>
      </c>
      <c r="K21" s="17"/>
      <c r="L21" s="21" t="s">
        <v>47</v>
      </c>
      <c r="Q21" s="37" t="s">
        <v>68</v>
      </c>
    </row>
    <row r="22" spans="1:17" ht="5.0999999999999996" customHeight="1" x14ac:dyDescent="0.2">
      <c r="A22" s="3"/>
      <c r="B22" s="168"/>
      <c r="C22" s="13"/>
      <c r="D22" s="8"/>
      <c r="E22" s="9"/>
      <c r="F22" s="9"/>
      <c r="G22" s="9"/>
      <c r="H22" s="7"/>
      <c r="I22" s="9"/>
      <c r="J22" s="9"/>
      <c r="K22" s="9"/>
      <c r="L22" s="22"/>
      <c r="Q22" s="154" t="s">
        <v>69</v>
      </c>
    </row>
    <row r="23" spans="1:17" ht="5.0999999999999996" customHeight="1" x14ac:dyDescent="0.2">
      <c r="A23" s="3"/>
      <c r="B23" s="168"/>
      <c r="C23" s="13"/>
      <c r="D23" s="14"/>
      <c r="E23" s="17"/>
      <c r="F23" s="17"/>
      <c r="G23" s="17"/>
      <c r="H23" s="12"/>
      <c r="I23" s="17"/>
      <c r="J23" s="17"/>
      <c r="K23" s="17"/>
      <c r="L23" s="15"/>
      <c r="Q23" s="154"/>
    </row>
    <row r="24" spans="1:17" ht="15.95" customHeight="1" x14ac:dyDescent="0.2">
      <c r="A24" s="3"/>
      <c r="B24" s="168"/>
      <c r="C24" s="13"/>
      <c r="D24" s="25" t="str">
        <f>IF(AA1=2, "Taso 3", IF(AB1=TRUE, IF(A26-3=0, "Alin taso","Alin taso -"&amp;(A26-3)), "Taso 3"))</f>
        <v>Taso 3</v>
      </c>
      <c r="E24" s="17"/>
      <c r="F24" s="19" t="s">
        <v>46</v>
      </c>
      <c r="G24" s="17"/>
      <c r="H24" s="11" t="s">
        <v>47</v>
      </c>
      <c r="I24" s="17"/>
      <c r="J24" s="20" t="s">
        <v>48</v>
      </c>
      <c r="K24" s="17"/>
      <c r="L24" s="21" t="s">
        <v>47</v>
      </c>
      <c r="Q24" s="154"/>
    </row>
    <row r="25" spans="1:17" ht="5.0999999999999996" customHeight="1" x14ac:dyDescent="0.2">
      <c r="A25" s="3"/>
      <c r="B25" s="168"/>
      <c r="C25" s="13"/>
      <c r="D25" s="8"/>
      <c r="E25" s="9"/>
      <c r="F25" s="9"/>
      <c r="G25" s="9"/>
      <c r="H25" s="7"/>
      <c r="I25" s="9"/>
      <c r="J25" s="9"/>
      <c r="K25" s="9"/>
      <c r="L25" s="22"/>
      <c r="Q25" s="154"/>
    </row>
    <row r="26" spans="1:17" ht="21.95" customHeight="1" x14ac:dyDescent="0.2">
      <c r="A26" s="3">
        <v>3</v>
      </c>
      <c r="B26" s="168"/>
      <c r="C26" s="13"/>
      <c r="D26" s="14"/>
      <c r="E26" s="14"/>
      <c r="F26" s="14"/>
      <c r="G26" s="14"/>
      <c r="H26" s="14"/>
      <c r="I26" s="14"/>
      <c r="J26" s="14"/>
      <c r="K26" s="14"/>
      <c r="L26" s="15"/>
      <c r="Q26" s="154"/>
    </row>
    <row r="27" spans="1:17" ht="5.0999999999999996" customHeight="1" thickBot="1" x14ac:dyDescent="0.25">
      <c r="A27" s="3"/>
      <c r="B27" s="175"/>
      <c r="C27" s="26"/>
      <c r="D27" s="27"/>
      <c r="E27" s="27"/>
      <c r="F27" s="27"/>
      <c r="G27" s="27"/>
      <c r="H27" s="27"/>
      <c r="I27" s="27"/>
      <c r="J27" s="27"/>
      <c r="K27" s="27"/>
      <c r="L27" s="28"/>
      <c r="Q27" s="154"/>
    </row>
    <row r="28" spans="1:17" ht="21.95" customHeight="1" x14ac:dyDescent="0.2">
      <c r="A28" s="3"/>
      <c r="B28" s="167" t="s">
        <v>44</v>
      </c>
      <c r="C28" s="14"/>
      <c r="D28" s="14"/>
      <c r="E28" s="14"/>
      <c r="F28" s="14"/>
      <c r="G28" s="14"/>
      <c r="H28" s="14"/>
      <c r="I28" s="14"/>
      <c r="J28" s="14"/>
      <c r="K28" s="14"/>
      <c r="L28" s="15"/>
      <c r="Q28" s="154"/>
    </row>
    <row r="29" spans="1:17" ht="18" customHeight="1" x14ac:dyDescent="0.2">
      <c r="A29" s="3"/>
      <c r="B29" s="168"/>
      <c r="C29" s="14"/>
      <c r="D29" s="14"/>
      <c r="E29" s="14"/>
      <c r="F29" s="14"/>
      <c r="G29" s="14"/>
      <c r="H29" s="14"/>
      <c r="I29" s="14"/>
      <c r="J29" s="14"/>
      <c r="K29" s="14"/>
      <c r="L29" s="15"/>
      <c r="Q29" s="154"/>
    </row>
    <row r="30" spans="1:17" ht="17.100000000000001" customHeight="1" x14ac:dyDescent="0.25">
      <c r="A30" s="3"/>
      <c r="B30" s="168"/>
      <c r="C30" s="6"/>
      <c r="D30" s="7"/>
      <c r="E30" s="158" t="s">
        <v>41</v>
      </c>
      <c r="F30" s="159"/>
      <c r="G30" s="160"/>
      <c r="H30" s="5" t="s">
        <v>42</v>
      </c>
      <c r="I30" s="158" t="s">
        <v>43</v>
      </c>
      <c r="J30" s="159"/>
      <c r="K30" s="160"/>
      <c r="L30" s="16" t="s">
        <v>42</v>
      </c>
      <c r="Q30" s="36"/>
    </row>
    <row r="31" spans="1:17" ht="5.0999999999999996" customHeight="1" x14ac:dyDescent="0.25">
      <c r="A31" s="3"/>
      <c r="B31" s="168"/>
      <c r="C31" s="155"/>
      <c r="D31" s="14"/>
      <c r="E31" s="17"/>
      <c r="F31" s="17"/>
      <c r="G31" s="17"/>
      <c r="H31" s="10"/>
      <c r="I31" s="17"/>
      <c r="J31" s="17"/>
      <c r="K31" s="17"/>
      <c r="L31" s="15"/>
      <c r="Q31" s="36"/>
    </row>
    <row r="32" spans="1:17" ht="15.95" customHeight="1" x14ac:dyDescent="0.2">
      <c r="A32" s="3"/>
      <c r="B32" s="168"/>
      <c r="C32" s="156"/>
      <c r="D32" s="18" t="s">
        <v>45</v>
      </c>
      <c r="E32" s="17"/>
      <c r="F32" s="68" t="s">
        <v>46</v>
      </c>
      <c r="G32" s="17"/>
      <c r="H32" s="11" t="s">
        <v>47</v>
      </c>
      <c r="I32" s="17"/>
      <c r="J32" s="42" t="s">
        <v>48</v>
      </c>
      <c r="K32" s="17"/>
      <c r="L32" s="21" t="s">
        <v>47</v>
      </c>
      <c r="Q32" s="38" t="s">
        <v>66</v>
      </c>
    </row>
    <row r="33" spans="1:17" ht="5.0999999999999996" customHeight="1" x14ac:dyDescent="0.2">
      <c r="A33" s="3"/>
      <c r="B33" s="168"/>
      <c r="C33" s="157"/>
      <c r="D33" s="8"/>
      <c r="E33" s="9"/>
      <c r="F33" s="9"/>
      <c r="G33" s="9"/>
      <c r="H33" s="7"/>
      <c r="I33" s="9"/>
      <c r="J33" s="9"/>
      <c r="K33" s="9"/>
      <c r="L33" s="22"/>
      <c r="Q33" s="154" t="s">
        <v>70</v>
      </c>
    </row>
    <row r="34" spans="1:17" ht="5.0999999999999996" customHeight="1" x14ac:dyDescent="0.2">
      <c r="A34" s="3"/>
      <c r="B34" s="168"/>
      <c r="C34" s="156"/>
      <c r="D34" s="14"/>
      <c r="E34" s="17"/>
      <c r="F34" s="17"/>
      <c r="G34" s="17"/>
      <c r="H34" s="12"/>
      <c r="I34" s="17"/>
      <c r="J34" s="17"/>
      <c r="K34" s="17"/>
      <c r="L34" s="15"/>
      <c r="Q34" s="154"/>
    </row>
    <row r="35" spans="1:17" ht="15.95" customHeight="1" x14ac:dyDescent="0.2">
      <c r="A35" s="3"/>
      <c r="B35" s="168"/>
      <c r="C35" s="156"/>
      <c r="D35" s="18" t="s">
        <v>49</v>
      </c>
      <c r="E35" s="17"/>
      <c r="F35" s="68" t="s">
        <v>46</v>
      </c>
      <c r="G35" s="17"/>
      <c r="H35" s="11" t="s">
        <v>47</v>
      </c>
      <c r="I35" s="17"/>
      <c r="J35" s="20" t="s">
        <v>48</v>
      </c>
      <c r="K35" s="17"/>
      <c r="L35" s="21" t="s">
        <v>47</v>
      </c>
      <c r="Q35" s="154"/>
    </row>
    <row r="36" spans="1:17" ht="5.0999999999999996" customHeight="1" x14ac:dyDescent="0.2">
      <c r="A36" s="3"/>
      <c r="B36" s="168"/>
      <c r="C36" s="157"/>
      <c r="D36" s="8"/>
      <c r="E36" s="9"/>
      <c r="F36" s="9"/>
      <c r="G36" s="9"/>
      <c r="H36" s="7"/>
      <c r="I36" s="9"/>
      <c r="J36" s="9"/>
      <c r="K36" s="9"/>
      <c r="L36" s="22"/>
      <c r="Q36" s="154"/>
    </row>
    <row r="37" spans="1:17" ht="11.1" customHeight="1" x14ac:dyDescent="0.2">
      <c r="A37" s="3"/>
      <c r="B37" s="168"/>
      <c r="C37" s="156"/>
      <c r="D37" s="187" t="s">
        <v>50</v>
      </c>
      <c r="E37" s="17"/>
      <c r="F37" s="17"/>
      <c r="G37" s="17"/>
      <c r="H37" s="12"/>
      <c r="I37" s="17"/>
      <c r="J37" s="17"/>
      <c r="K37" s="17"/>
      <c r="L37" s="15"/>
      <c r="Q37" s="154"/>
    </row>
    <row r="38" spans="1:17" ht="11.1" customHeight="1" x14ac:dyDescent="0.2">
      <c r="A38" s="3"/>
      <c r="B38" s="168"/>
      <c r="C38" s="156"/>
      <c r="D38" s="187"/>
      <c r="E38" s="17"/>
      <c r="F38" s="17"/>
      <c r="G38" s="17"/>
      <c r="H38" s="12"/>
      <c r="I38" s="17"/>
      <c r="J38" s="17"/>
      <c r="K38" s="17"/>
      <c r="L38" s="15"/>
      <c r="Q38" s="154"/>
    </row>
    <row r="39" spans="1:17" ht="15.95" customHeight="1" x14ac:dyDescent="0.2">
      <c r="A39" s="3"/>
      <c r="B39" s="168"/>
      <c r="C39" s="13"/>
      <c r="D39" s="23" t="str">
        <f>IF(AA1=2, "Taso 1", IF(AB1=TRUE, IF(A59-1=0, "Alin taso","Alin taso -"&amp;(A59-1)), "Taso 1"))</f>
        <v>Taso 1</v>
      </c>
      <c r="E39" s="17"/>
      <c r="F39" s="72" t="s">
        <v>46</v>
      </c>
      <c r="G39" s="17"/>
      <c r="H39" s="11" t="s">
        <v>47</v>
      </c>
      <c r="I39" s="17"/>
      <c r="J39" s="20" t="s">
        <v>48</v>
      </c>
      <c r="K39" s="17"/>
      <c r="L39" s="21" t="s">
        <v>47</v>
      </c>
      <c r="Q39" s="154"/>
    </row>
    <row r="40" spans="1:17" ht="5.0999999999999996" customHeight="1" x14ac:dyDescent="0.25">
      <c r="A40" s="3"/>
      <c r="B40" s="168"/>
      <c r="C40" s="13"/>
      <c r="D40" s="8"/>
      <c r="E40" s="9"/>
      <c r="F40" s="9"/>
      <c r="G40" s="9"/>
      <c r="H40" s="7"/>
      <c r="I40" s="9"/>
      <c r="J40" s="9"/>
      <c r="K40" s="9"/>
      <c r="L40" s="22"/>
      <c r="Q40" s="39"/>
    </row>
    <row r="41" spans="1:17" ht="5.0999999999999996" customHeight="1" x14ac:dyDescent="0.2">
      <c r="A41" s="3"/>
      <c r="B41" s="168"/>
      <c r="C41" s="13"/>
      <c r="D41" s="14"/>
      <c r="E41" s="17"/>
      <c r="F41" s="17"/>
      <c r="G41" s="17"/>
      <c r="H41" s="12"/>
      <c r="I41" s="17"/>
      <c r="J41" s="17"/>
      <c r="K41" s="17"/>
      <c r="L41" s="15"/>
    </row>
    <row r="42" spans="1:17" ht="15.95" customHeight="1" x14ac:dyDescent="0.2">
      <c r="A42" s="3"/>
      <c r="B42" s="168"/>
      <c r="C42" s="13"/>
      <c r="D42" s="24" t="str">
        <f>IF(AA1=2, "Taso 2", IF(AB1=TRUE, IF(A59-2=0, "Alin taso","Alin taso -"&amp;(A59-2)), "Taso 2"))</f>
        <v>Taso 2</v>
      </c>
      <c r="E42" s="17"/>
      <c r="F42" s="73" t="s">
        <v>46</v>
      </c>
      <c r="G42" s="17"/>
      <c r="H42" s="11" t="s">
        <v>47</v>
      </c>
      <c r="I42" s="17"/>
      <c r="J42" s="20" t="s">
        <v>48</v>
      </c>
      <c r="K42" s="17"/>
      <c r="L42" s="21" t="s">
        <v>47</v>
      </c>
    </row>
    <row r="43" spans="1:17" ht="5.0999999999999996" customHeight="1" x14ac:dyDescent="0.2">
      <c r="A43" s="3"/>
      <c r="B43" s="168"/>
      <c r="C43" s="13"/>
      <c r="D43" s="8"/>
      <c r="E43" s="9"/>
      <c r="F43" s="9"/>
      <c r="G43" s="9"/>
      <c r="H43" s="7"/>
      <c r="I43" s="9"/>
      <c r="J43" s="9"/>
      <c r="K43" s="9"/>
      <c r="L43" s="22"/>
    </row>
    <row r="44" spans="1:17" ht="5.0999999999999996" customHeight="1" x14ac:dyDescent="0.2">
      <c r="A44" s="3"/>
      <c r="B44" s="168"/>
      <c r="C44" s="13"/>
      <c r="D44" s="14"/>
      <c r="E44" s="17"/>
      <c r="F44" s="17"/>
      <c r="G44" s="17"/>
      <c r="H44" s="12"/>
      <c r="I44" s="17"/>
      <c r="J44" s="17"/>
      <c r="K44" s="17"/>
      <c r="L44" s="15"/>
    </row>
    <row r="45" spans="1:17" ht="15.95" customHeight="1" x14ac:dyDescent="0.2">
      <c r="A45" s="3"/>
      <c r="B45" s="168"/>
      <c r="C45" s="13"/>
      <c r="D45" s="25" t="str">
        <f>IF(AA1=2, "Taso 3", IF(AB1=TRUE, IF(A59-3=0, "Alin taso","Alin taso -"&amp;(A59-3)), "Taso 3"))</f>
        <v>Taso 3</v>
      </c>
      <c r="E45" s="17"/>
      <c r="F45" s="74" t="s">
        <v>46</v>
      </c>
      <c r="G45" s="17"/>
      <c r="H45" s="11" t="s">
        <v>47</v>
      </c>
      <c r="I45" s="17"/>
      <c r="J45" s="20" t="s">
        <v>48</v>
      </c>
      <c r="K45" s="17"/>
      <c r="L45" s="21" t="s">
        <v>47</v>
      </c>
    </row>
    <row r="46" spans="1:17" ht="5.0999999999999996" customHeight="1" x14ac:dyDescent="0.2">
      <c r="A46" s="3"/>
      <c r="B46" s="168"/>
      <c r="C46" s="44"/>
      <c r="D46" s="49"/>
      <c r="E46" s="9"/>
      <c r="F46" s="50"/>
      <c r="G46" s="9"/>
      <c r="H46" s="51"/>
      <c r="I46" s="9"/>
      <c r="J46" s="52"/>
      <c r="K46" s="9"/>
      <c r="L46" s="53"/>
    </row>
    <row r="47" spans="1:17" ht="5.0999999999999996" customHeight="1" x14ac:dyDescent="0.2">
      <c r="A47" s="3"/>
      <c r="B47" s="168"/>
      <c r="C47" s="44"/>
      <c r="D47" s="25"/>
      <c r="E47" s="17"/>
      <c r="F47" s="47"/>
      <c r="G47" s="17"/>
      <c r="H47" s="45"/>
      <c r="I47" s="17"/>
      <c r="J47" s="48"/>
      <c r="K47" s="17"/>
      <c r="L47" s="21"/>
    </row>
    <row r="48" spans="1:17" ht="15.95" customHeight="1" x14ac:dyDescent="0.2">
      <c r="A48" s="3"/>
      <c r="B48" s="168"/>
      <c r="C48" s="44"/>
      <c r="D48" s="46" t="str">
        <f>IF(Y1=2, "Taso 4", IF(Z1=TRUE, IF(A59-4=0, "Alin taso","Alin taso -"&amp;(A59-4)), "Taso 4"))</f>
        <v>Taso 4</v>
      </c>
      <c r="E48" s="17"/>
      <c r="F48" s="75" t="s">
        <v>46</v>
      </c>
      <c r="G48" s="17"/>
      <c r="H48" s="45" t="s">
        <v>47</v>
      </c>
      <c r="I48" s="17"/>
      <c r="J48" s="20" t="s">
        <v>48</v>
      </c>
      <c r="K48" s="17"/>
      <c r="L48" s="21" t="s">
        <v>47</v>
      </c>
    </row>
    <row r="49" spans="1:12" ht="5.0999999999999996" customHeight="1" x14ac:dyDescent="0.2">
      <c r="A49" s="3"/>
      <c r="B49" s="168"/>
      <c r="C49" s="44"/>
      <c r="D49" s="55"/>
      <c r="E49" s="9"/>
      <c r="F49" s="50"/>
      <c r="G49" s="9"/>
      <c r="H49" s="51"/>
      <c r="I49" s="9"/>
      <c r="J49" s="52"/>
      <c r="K49" s="9"/>
      <c r="L49" s="53"/>
    </row>
    <row r="50" spans="1:12" ht="5.0999999999999996" customHeight="1" x14ac:dyDescent="0.2">
      <c r="A50" s="3"/>
      <c r="B50" s="168"/>
      <c r="C50" s="44"/>
      <c r="D50" s="46"/>
      <c r="E50" s="17"/>
      <c r="F50" s="47"/>
      <c r="G50" s="17"/>
      <c r="H50" s="45"/>
      <c r="I50" s="17"/>
      <c r="J50" s="48"/>
      <c r="K50" s="17"/>
      <c r="L50" s="21"/>
    </row>
    <row r="51" spans="1:12" ht="15.95" customHeight="1" x14ac:dyDescent="0.2">
      <c r="A51" s="3"/>
      <c r="B51" s="168"/>
      <c r="C51" s="44"/>
      <c r="D51" s="54" t="str">
        <f>IF(Y1=2, "Taso 5", IF(Z1=TRUE, IF(A59-5=0, "Alin taso","Alin taso -"&amp;(A59-5)), "Taso 5"))</f>
        <v>Taso 5</v>
      </c>
      <c r="E51" s="17"/>
      <c r="F51" s="69" t="s">
        <v>46</v>
      </c>
      <c r="G51" s="17"/>
      <c r="H51" s="45" t="s">
        <v>47</v>
      </c>
      <c r="I51" s="17"/>
      <c r="J51" s="20" t="s">
        <v>48</v>
      </c>
      <c r="K51" s="17"/>
      <c r="L51" s="21" t="s">
        <v>47</v>
      </c>
    </row>
    <row r="52" spans="1:12" ht="5.0999999999999996" customHeight="1" x14ac:dyDescent="0.2">
      <c r="A52" s="3"/>
      <c r="B52" s="168"/>
      <c r="C52" s="44"/>
      <c r="D52" s="57"/>
      <c r="E52" s="9"/>
      <c r="F52" s="50"/>
      <c r="G52" s="9"/>
      <c r="H52" s="51"/>
      <c r="I52" s="9"/>
      <c r="J52" s="52"/>
      <c r="K52" s="9"/>
      <c r="L52" s="53"/>
    </row>
    <row r="53" spans="1:12" ht="5.0999999999999996" customHeight="1" x14ac:dyDescent="0.2">
      <c r="A53" s="3"/>
      <c r="B53" s="168"/>
      <c r="C53" s="44"/>
      <c r="D53" s="54"/>
      <c r="E53" s="17"/>
      <c r="F53" s="47"/>
      <c r="G53" s="17"/>
      <c r="H53" s="45"/>
      <c r="I53" s="17"/>
      <c r="J53" s="48"/>
      <c r="K53" s="17"/>
      <c r="L53" s="21"/>
    </row>
    <row r="54" spans="1:12" ht="15.95" customHeight="1" x14ac:dyDescent="0.2">
      <c r="A54" s="3"/>
      <c r="B54" s="168"/>
      <c r="C54" s="44"/>
      <c r="D54" s="56" t="str">
        <f>IF(Y1=2, "Taso 6", IF(Z1=TRUE, IF(A59-6=0, "Alin taso","Alin taso -"&amp;(A59-6)), "Taso 6"))</f>
        <v>Taso 6</v>
      </c>
      <c r="E54" s="17"/>
      <c r="F54" s="70" t="s">
        <v>46</v>
      </c>
      <c r="G54" s="17"/>
      <c r="H54" s="45" t="s">
        <v>47</v>
      </c>
      <c r="I54" s="17"/>
      <c r="J54" s="20" t="s">
        <v>48</v>
      </c>
      <c r="K54" s="17"/>
      <c r="L54" s="21" t="s">
        <v>47</v>
      </c>
    </row>
    <row r="55" spans="1:12" ht="5.0999999999999996" customHeight="1" x14ac:dyDescent="0.2">
      <c r="A55" s="3"/>
      <c r="B55" s="168"/>
      <c r="C55" s="44"/>
      <c r="D55" s="59"/>
      <c r="E55" s="9"/>
      <c r="F55" s="50"/>
      <c r="G55" s="9"/>
      <c r="H55" s="51"/>
      <c r="I55" s="9"/>
      <c r="J55" s="52"/>
      <c r="K55" s="9"/>
      <c r="L55" s="53"/>
    </row>
    <row r="56" spans="1:12" ht="5.0999999999999996" customHeight="1" x14ac:dyDescent="0.2">
      <c r="A56" s="3"/>
      <c r="B56" s="168"/>
      <c r="C56" s="44"/>
      <c r="D56" s="56"/>
      <c r="E56" s="17"/>
      <c r="F56" s="47"/>
      <c r="G56" s="17"/>
      <c r="H56" s="45"/>
      <c r="I56" s="17"/>
      <c r="J56" s="48"/>
      <c r="K56" s="17"/>
      <c r="L56" s="21"/>
    </row>
    <row r="57" spans="1:12" ht="15.95" customHeight="1" x14ac:dyDescent="0.2">
      <c r="A57" s="3"/>
      <c r="B57" s="168"/>
      <c r="C57" s="44"/>
      <c r="D57" s="58" t="str">
        <f>IF(Y1=2, "Taso 7", IF(Z1=TRUE, IF(A59-7=0, "Alin taso","Alin taso -"&amp;(A59-7)), "Taso 7"))</f>
        <v>Taso 7</v>
      </c>
      <c r="E57" s="17"/>
      <c r="F57" s="71" t="s">
        <v>46</v>
      </c>
      <c r="G57" s="17"/>
      <c r="H57" s="45" t="s">
        <v>47</v>
      </c>
      <c r="I57" s="17"/>
      <c r="J57" s="20" t="s">
        <v>48</v>
      </c>
      <c r="K57" s="17"/>
      <c r="L57" s="21" t="s">
        <v>47</v>
      </c>
    </row>
    <row r="58" spans="1:12" ht="5.0999999999999996" customHeight="1" x14ac:dyDescent="0.2">
      <c r="A58" s="3"/>
      <c r="B58" s="168"/>
      <c r="C58" s="13"/>
      <c r="D58" s="8"/>
      <c r="E58" s="9"/>
      <c r="F58" s="9"/>
      <c r="G58" s="9"/>
      <c r="H58" s="7"/>
      <c r="I58" s="9"/>
      <c r="J58" s="9"/>
      <c r="K58" s="9"/>
      <c r="L58" s="22"/>
    </row>
    <row r="59" spans="1:12" ht="21.95" customHeight="1" x14ac:dyDescent="0.2">
      <c r="A59" s="3">
        <v>7</v>
      </c>
      <c r="B59" s="168"/>
      <c r="C59" s="13"/>
      <c r="D59" s="14"/>
      <c r="E59" s="14"/>
      <c r="F59" s="14"/>
      <c r="G59" s="14"/>
      <c r="H59" s="14"/>
      <c r="I59" s="14"/>
      <c r="J59" s="14"/>
      <c r="K59" s="14"/>
      <c r="L59" s="15"/>
    </row>
    <row r="60" spans="1:12" ht="5.0999999999999996" customHeight="1" thickBot="1" x14ac:dyDescent="0.25">
      <c r="A60" s="3"/>
      <c r="B60" s="175"/>
      <c r="C60" s="26"/>
      <c r="D60" s="27"/>
      <c r="E60" s="27"/>
      <c r="F60" s="27"/>
      <c r="G60" s="27"/>
      <c r="H60" s="27"/>
      <c r="I60" s="27"/>
      <c r="J60" s="27"/>
      <c r="K60" s="27"/>
      <c r="L60" s="28"/>
    </row>
    <row r="61" spans="1:12" ht="9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24.6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ht="15" customHeight="1" thickBo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ht="28.35" customHeight="1" x14ac:dyDescent="0.2">
      <c r="A64" s="3"/>
      <c r="B64" s="161" t="s">
        <v>52</v>
      </c>
      <c r="C64" s="162"/>
      <c r="D64" s="162"/>
      <c r="E64" s="162"/>
      <c r="F64" s="162"/>
      <c r="G64" s="162"/>
      <c r="H64" s="162"/>
      <c r="I64" s="162"/>
      <c r="J64" s="162"/>
      <c r="K64" s="162"/>
      <c r="L64" s="163"/>
    </row>
    <row r="65" spans="1:12" ht="28.35" customHeight="1" thickBot="1" x14ac:dyDescent="0.25">
      <c r="A65" s="3"/>
      <c r="B65" s="164"/>
      <c r="C65" s="165"/>
      <c r="D65" s="165"/>
      <c r="E65" s="165"/>
      <c r="F65" s="165"/>
      <c r="G65" s="165"/>
      <c r="H65" s="165"/>
      <c r="I65" s="165"/>
      <c r="J65" s="165"/>
      <c r="K65" s="165"/>
      <c r="L65" s="166"/>
    </row>
    <row r="66" spans="1:12" ht="15.95" customHeight="1" x14ac:dyDescent="0.2">
      <c r="A66" s="3"/>
      <c r="B66" s="179" t="s">
        <v>51</v>
      </c>
      <c r="C66" s="29"/>
      <c r="D66" s="29"/>
      <c r="E66" s="29"/>
      <c r="F66" s="29"/>
      <c r="G66" s="29"/>
      <c r="H66" s="29"/>
      <c r="I66" s="29"/>
      <c r="J66" s="29"/>
      <c r="K66" s="29"/>
      <c r="L66" s="30"/>
    </row>
    <row r="67" spans="1:12" ht="18" customHeight="1" x14ac:dyDescent="0.2">
      <c r="A67" s="3"/>
      <c r="B67" s="168"/>
      <c r="C67" s="6"/>
      <c r="D67" s="7"/>
      <c r="E67" s="158" t="s">
        <v>41</v>
      </c>
      <c r="F67" s="159"/>
      <c r="G67" s="160"/>
      <c r="H67" s="5" t="s">
        <v>42</v>
      </c>
      <c r="I67" s="158" t="s">
        <v>43</v>
      </c>
      <c r="J67" s="159"/>
      <c r="K67" s="160"/>
      <c r="L67" s="16" t="s">
        <v>42</v>
      </c>
    </row>
    <row r="68" spans="1:12" ht="5.0999999999999996" customHeight="1" x14ac:dyDescent="0.2">
      <c r="A68" s="3"/>
      <c r="B68" s="168"/>
      <c r="C68" s="155"/>
      <c r="D68" s="14"/>
      <c r="E68" s="17"/>
      <c r="F68" s="17"/>
      <c r="G68" s="17"/>
      <c r="H68" s="10"/>
      <c r="I68" s="17"/>
      <c r="J68" s="17"/>
      <c r="K68" s="17"/>
      <c r="L68" s="15"/>
    </row>
    <row r="69" spans="1:12" ht="15.95" customHeight="1" x14ac:dyDescent="0.2">
      <c r="A69" s="3"/>
      <c r="B69" s="168"/>
      <c r="C69" s="156"/>
      <c r="D69" s="18" t="s">
        <v>53</v>
      </c>
      <c r="E69" s="17"/>
      <c r="F69" s="19" t="s">
        <v>46</v>
      </c>
      <c r="G69" s="17"/>
      <c r="H69" s="11" t="s">
        <v>47</v>
      </c>
      <c r="I69" s="17"/>
      <c r="J69" s="20" t="s">
        <v>48</v>
      </c>
      <c r="K69" s="17"/>
      <c r="L69" s="21" t="s">
        <v>47</v>
      </c>
    </row>
    <row r="70" spans="1:12" ht="5.0999999999999996" customHeight="1" x14ac:dyDescent="0.2">
      <c r="A70" s="3"/>
      <c r="B70" s="168"/>
      <c r="C70" s="157"/>
      <c r="D70" s="8"/>
      <c r="E70" s="9"/>
      <c r="F70" s="9"/>
      <c r="G70" s="9"/>
      <c r="H70" s="7"/>
      <c r="I70" s="9"/>
      <c r="J70" s="9"/>
      <c r="K70" s="9"/>
      <c r="L70" s="22"/>
    </row>
    <row r="71" spans="1:12" ht="5.0999999999999996" customHeight="1" x14ac:dyDescent="0.2">
      <c r="A71" s="3"/>
      <c r="B71" s="168"/>
      <c r="C71" s="156"/>
      <c r="D71" s="14"/>
      <c r="E71" s="17"/>
      <c r="F71" s="17"/>
      <c r="G71" s="17"/>
      <c r="H71" s="12"/>
      <c r="I71" s="17"/>
      <c r="J71" s="17"/>
      <c r="K71" s="17"/>
      <c r="L71" s="15"/>
    </row>
    <row r="72" spans="1:12" ht="15.95" customHeight="1" x14ac:dyDescent="0.2">
      <c r="A72" s="3"/>
      <c r="B72" s="168"/>
      <c r="C72" s="156"/>
      <c r="D72" s="18" t="s">
        <v>54</v>
      </c>
      <c r="E72" s="17"/>
      <c r="F72" s="19" t="s">
        <v>46</v>
      </c>
      <c r="G72" s="17"/>
      <c r="H72" s="11" t="s">
        <v>47</v>
      </c>
      <c r="I72" s="17"/>
      <c r="J72" s="20" t="s">
        <v>48</v>
      </c>
      <c r="K72" s="17"/>
      <c r="L72" s="21" t="s">
        <v>47</v>
      </c>
    </row>
    <row r="73" spans="1:12" ht="5.0999999999999996" customHeight="1" x14ac:dyDescent="0.2">
      <c r="A73" s="3"/>
      <c r="B73" s="168"/>
      <c r="C73" s="157"/>
      <c r="D73" s="8"/>
      <c r="E73" s="9"/>
      <c r="F73" s="9"/>
      <c r="G73" s="9"/>
      <c r="H73" s="7"/>
      <c r="I73" s="9"/>
      <c r="J73" s="9"/>
      <c r="K73" s="9"/>
      <c r="L73" s="22"/>
    </row>
    <row r="74" spans="1:12" ht="5.0999999999999996" customHeight="1" x14ac:dyDescent="0.2">
      <c r="A74" s="3"/>
      <c r="B74" s="168"/>
      <c r="C74" s="156"/>
      <c r="D74" s="14"/>
      <c r="E74" s="17"/>
      <c r="F74" s="17"/>
      <c r="G74" s="17"/>
      <c r="H74" s="12"/>
      <c r="I74" s="17"/>
      <c r="J74" s="17"/>
      <c r="K74" s="17"/>
      <c r="L74" s="15"/>
    </row>
    <row r="75" spans="1:12" ht="15.95" customHeight="1" x14ac:dyDescent="0.2">
      <c r="A75" s="3"/>
      <c r="B75" s="168"/>
      <c r="C75" s="156"/>
      <c r="D75" s="18" t="s">
        <v>55</v>
      </c>
      <c r="E75" s="17"/>
      <c r="F75" s="66" t="s">
        <v>46</v>
      </c>
      <c r="G75" s="17"/>
      <c r="H75" s="11" t="s">
        <v>47</v>
      </c>
      <c r="I75" s="17"/>
      <c r="J75" s="20" t="s">
        <v>48</v>
      </c>
      <c r="K75" s="17"/>
      <c r="L75" s="21" t="s">
        <v>47</v>
      </c>
    </row>
    <row r="76" spans="1:12" ht="5.0999999999999996" customHeight="1" x14ac:dyDescent="0.2">
      <c r="A76" s="3"/>
      <c r="B76" s="168"/>
      <c r="C76" s="157"/>
      <c r="D76" s="8"/>
      <c r="E76" s="9"/>
      <c r="F76" s="9"/>
      <c r="G76" s="9"/>
      <c r="H76" s="7"/>
      <c r="I76" s="9"/>
      <c r="J76" s="9"/>
      <c r="K76" s="9"/>
      <c r="L76" s="22"/>
    </row>
    <row r="77" spans="1:12" ht="5.0999999999999996" customHeight="1" x14ac:dyDescent="0.2">
      <c r="A77" s="3"/>
      <c r="B77" s="168"/>
      <c r="C77" s="156"/>
      <c r="D77" s="14"/>
      <c r="E77" s="17"/>
      <c r="F77" s="17"/>
      <c r="G77" s="17"/>
      <c r="H77" s="12"/>
      <c r="I77" s="17"/>
      <c r="J77" s="17"/>
      <c r="K77" s="17"/>
      <c r="L77" s="15"/>
    </row>
    <row r="78" spans="1:12" ht="15.95" customHeight="1" x14ac:dyDescent="0.2">
      <c r="A78" s="3"/>
      <c r="B78" s="168"/>
      <c r="C78" s="156"/>
      <c r="D78" s="18" t="s">
        <v>56</v>
      </c>
      <c r="E78" s="17"/>
      <c r="F78" s="19" t="s">
        <v>46</v>
      </c>
      <c r="G78" s="17"/>
      <c r="H78" s="11" t="s">
        <v>47</v>
      </c>
      <c r="I78" s="17"/>
      <c r="J78" s="20" t="s">
        <v>48</v>
      </c>
      <c r="K78" s="17"/>
      <c r="L78" s="21" t="s">
        <v>47</v>
      </c>
    </row>
    <row r="79" spans="1:12" ht="5.0999999999999996" customHeight="1" x14ac:dyDescent="0.2">
      <c r="A79" s="3"/>
      <c r="B79" s="168"/>
      <c r="C79" s="157"/>
      <c r="D79" s="8"/>
      <c r="E79" s="9"/>
      <c r="F79" s="9"/>
      <c r="G79" s="9"/>
      <c r="H79" s="7"/>
      <c r="I79" s="9"/>
      <c r="J79" s="9"/>
      <c r="K79" s="9"/>
      <c r="L79" s="22"/>
    </row>
    <row r="80" spans="1:12" ht="5.0999999999999996" customHeight="1" x14ac:dyDescent="0.2">
      <c r="A80" s="3"/>
      <c r="B80" s="168"/>
      <c r="C80" s="156"/>
      <c r="D80" s="14"/>
      <c r="E80" s="17"/>
      <c r="F80" s="17"/>
      <c r="G80" s="17"/>
      <c r="H80" s="12"/>
      <c r="I80" s="17"/>
      <c r="J80" s="17"/>
      <c r="K80" s="17"/>
      <c r="L80" s="15"/>
    </row>
    <row r="81" spans="1:12" ht="15.95" customHeight="1" x14ac:dyDescent="0.2">
      <c r="A81" s="3"/>
      <c r="B81" s="168"/>
      <c r="C81" s="156"/>
      <c r="D81" s="18" t="s">
        <v>57</v>
      </c>
      <c r="E81" s="17"/>
      <c r="F81" s="67" t="s">
        <v>46</v>
      </c>
      <c r="G81" s="17"/>
      <c r="H81" s="11" t="s">
        <v>47</v>
      </c>
      <c r="I81" s="17"/>
      <c r="J81" s="20" t="s">
        <v>48</v>
      </c>
      <c r="K81" s="17"/>
      <c r="L81" s="21" t="s">
        <v>47</v>
      </c>
    </row>
    <row r="82" spans="1:12" ht="5.0999999999999996" customHeight="1" x14ac:dyDescent="0.2">
      <c r="A82" s="3"/>
      <c r="B82" s="168"/>
      <c r="C82" s="157"/>
      <c r="D82" s="8"/>
      <c r="E82" s="9"/>
      <c r="F82" s="9"/>
      <c r="G82" s="9"/>
      <c r="H82" s="7"/>
      <c r="I82" s="9"/>
      <c r="J82" s="9"/>
      <c r="K82" s="9"/>
      <c r="L82" s="22"/>
    </row>
    <row r="83" spans="1:12" ht="5.0999999999999996" customHeight="1" x14ac:dyDescent="0.2">
      <c r="A83" s="3"/>
      <c r="B83" s="168"/>
      <c r="C83" s="156"/>
      <c r="D83" s="14"/>
      <c r="E83" s="17"/>
      <c r="F83" s="17"/>
      <c r="G83" s="17"/>
      <c r="H83" s="12"/>
      <c r="I83" s="17"/>
      <c r="J83" s="17"/>
      <c r="K83" s="17"/>
      <c r="L83" s="15"/>
    </row>
    <row r="84" spans="1:12" ht="15.95" customHeight="1" x14ac:dyDescent="0.2">
      <c r="A84" s="3"/>
      <c r="B84" s="168"/>
      <c r="C84" s="156"/>
      <c r="D84" s="18" t="s">
        <v>58</v>
      </c>
      <c r="E84" s="17"/>
      <c r="F84" s="17"/>
      <c r="G84" s="17"/>
      <c r="H84" s="12"/>
      <c r="I84" s="17"/>
      <c r="J84" s="17"/>
      <c r="K84" s="17"/>
      <c r="L84" s="15"/>
    </row>
    <row r="85" spans="1:12" ht="5.0999999999999996" customHeight="1" x14ac:dyDescent="0.2">
      <c r="A85" s="3"/>
      <c r="B85" s="168"/>
      <c r="C85" s="62"/>
      <c r="D85" s="63"/>
      <c r="E85" s="17"/>
      <c r="F85" s="17"/>
      <c r="G85" s="17"/>
      <c r="H85" s="12"/>
      <c r="I85" s="17"/>
      <c r="J85" s="17"/>
      <c r="K85" s="17"/>
      <c r="L85" s="15"/>
    </row>
    <row r="86" spans="1:12" ht="15.75" customHeight="1" x14ac:dyDescent="0.2">
      <c r="A86" s="3"/>
      <c r="B86" s="168"/>
      <c r="C86" s="62"/>
      <c r="D86" s="61" t="s">
        <v>80</v>
      </c>
      <c r="E86" s="17"/>
      <c r="F86" s="42" t="s">
        <v>46</v>
      </c>
      <c r="G86" s="17"/>
      <c r="H86" s="65" t="s">
        <v>47</v>
      </c>
      <c r="I86" s="17"/>
      <c r="J86" s="20" t="s">
        <v>48</v>
      </c>
      <c r="K86" s="17"/>
      <c r="L86" s="21" t="s">
        <v>47</v>
      </c>
    </row>
    <row r="87" spans="1:12" ht="5.0999999999999996" customHeight="1" x14ac:dyDescent="0.2">
      <c r="A87" s="3"/>
      <c r="B87" s="168"/>
      <c r="C87" s="62"/>
      <c r="D87" s="60"/>
      <c r="E87" s="9"/>
      <c r="F87" s="9"/>
      <c r="G87" s="9"/>
      <c r="H87" s="7"/>
      <c r="I87" s="9"/>
      <c r="J87" s="9"/>
      <c r="K87" s="9"/>
      <c r="L87" s="64"/>
    </row>
    <row r="88" spans="1:12" ht="5.0999999999999996" customHeight="1" x14ac:dyDescent="0.2">
      <c r="A88" s="3"/>
      <c r="B88" s="168"/>
      <c r="C88" s="62"/>
      <c r="D88" s="63"/>
      <c r="E88" s="17"/>
      <c r="F88" s="17"/>
      <c r="G88" s="17"/>
      <c r="H88" s="12"/>
      <c r="I88" s="17"/>
      <c r="J88" s="17"/>
      <c r="K88" s="17"/>
      <c r="L88" s="15"/>
    </row>
    <row r="89" spans="1:12" ht="15.75" customHeight="1" x14ac:dyDescent="0.2">
      <c r="A89" s="3"/>
      <c r="B89" s="168"/>
      <c r="C89" s="62"/>
      <c r="D89" s="61" t="s">
        <v>97</v>
      </c>
      <c r="E89" s="17"/>
      <c r="F89" s="41" t="s">
        <v>46</v>
      </c>
      <c r="G89" s="17"/>
      <c r="H89" s="65" t="s">
        <v>47</v>
      </c>
      <c r="I89" s="17"/>
      <c r="J89" s="20" t="s">
        <v>48</v>
      </c>
      <c r="K89" s="17"/>
      <c r="L89" s="21" t="s">
        <v>47</v>
      </c>
    </row>
    <row r="90" spans="1:12" ht="5.0999999999999996" customHeight="1" x14ac:dyDescent="0.2">
      <c r="A90" s="3"/>
      <c r="B90" s="168"/>
      <c r="C90" s="62"/>
      <c r="D90" s="60"/>
      <c r="E90" s="9"/>
      <c r="F90" s="9"/>
      <c r="G90" s="9"/>
      <c r="H90" s="7"/>
      <c r="I90" s="9"/>
      <c r="J90" s="9"/>
      <c r="K90" s="9"/>
      <c r="L90" s="64"/>
    </row>
    <row r="91" spans="1:12" ht="21.95" customHeight="1" x14ac:dyDescent="0.2">
      <c r="A91" s="3"/>
      <c r="B91" s="168"/>
      <c r="C91" s="13"/>
      <c r="D91" s="14"/>
      <c r="E91" s="14"/>
      <c r="F91" s="14"/>
      <c r="G91" s="14"/>
      <c r="H91" s="12"/>
      <c r="I91" s="14"/>
      <c r="J91" s="14"/>
      <c r="K91" s="14"/>
      <c r="L91" s="15"/>
    </row>
    <row r="92" spans="1:12" ht="5.0999999999999996" customHeight="1" thickBot="1" x14ac:dyDescent="0.25">
      <c r="A92" s="3"/>
      <c r="B92" s="175"/>
      <c r="C92" s="26"/>
      <c r="D92" s="27"/>
      <c r="E92" s="27"/>
      <c r="F92" s="27"/>
      <c r="G92" s="27"/>
      <c r="H92" s="31"/>
      <c r="I92" s="27"/>
      <c r="J92" s="27"/>
      <c r="K92" s="27"/>
      <c r="L92" s="28"/>
    </row>
    <row r="93" spans="1:12" ht="18" customHeight="1" x14ac:dyDescent="0.2">
      <c r="A93" s="3"/>
      <c r="B93" s="167" t="s">
        <v>44</v>
      </c>
      <c r="C93" s="14"/>
      <c r="D93" s="14"/>
      <c r="E93" s="14"/>
      <c r="F93" s="14"/>
      <c r="G93" s="14"/>
      <c r="H93" s="14"/>
      <c r="I93" s="14"/>
      <c r="J93" s="14"/>
      <c r="K93" s="14"/>
      <c r="L93" s="15"/>
    </row>
    <row r="94" spans="1:12" ht="17.100000000000001" customHeight="1" x14ac:dyDescent="0.2">
      <c r="A94" s="3"/>
      <c r="B94" s="168"/>
      <c r="C94" s="6"/>
      <c r="D94" s="7"/>
      <c r="E94" s="158" t="s">
        <v>41</v>
      </c>
      <c r="F94" s="159"/>
      <c r="G94" s="160"/>
      <c r="H94" s="5" t="s">
        <v>42</v>
      </c>
      <c r="I94" s="158" t="s">
        <v>43</v>
      </c>
      <c r="J94" s="159"/>
      <c r="K94" s="160"/>
      <c r="L94" s="16" t="s">
        <v>42</v>
      </c>
    </row>
    <row r="95" spans="1:12" ht="5.0999999999999996" customHeight="1" x14ac:dyDescent="0.2">
      <c r="A95" s="3"/>
      <c r="B95" s="168"/>
      <c r="C95" s="155"/>
      <c r="D95" s="14"/>
      <c r="E95" s="17"/>
      <c r="F95" s="17"/>
      <c r="G95" s="17"/>
      <c r="H95" s="10"/>
      <c r="I95" s="17"/>
      <c r="J95" s="17"/>
      <c r="K95" s="17"/>
      <c r="L95" s="15"/>
    </row>
    <row r="96" spans="1:12" ht="15.95" customHeight="1" x14ac:dyDescent="0.2">
      <c r="A96" s="3"/>
      <c r="B96" s="168"/>
      <c r="C96" s="156"/>
      <c r="D96" s="18" t="s">
        <v>53</v>
      </c>
      <c r="E96" s="17"/>
      <c r="F96" s="19" t="s">
        <v>46</v>
      </c>
      <c r="G96" s="17"/>
      <c r="H96" s="11" t="s">
        <v>47</v>
      </c>
      <c r="I96" s="17"/>
      <c r="J96" s="20" t="s">
        <v>48</v>
      </c>
      <c r="K96" s="17"/>
      <c r="L96" s="21" t="s">
        <v>47</v>
      </c>
    </row>
    <row r="97" spans="1:12" ht="5.0999999999999996" customHeight="1" x14ac:dyDescent="0.2">
      <c r="A97" s="3"/>
      <c r="B97" s="168"/>
      <c r="C97" s="157"/>
      <c r="D97" s="8"/>
      <c r="E97" s="9"/>
      <c r="F97" s="9"/>
      <c r="G97" s="9"/>
      <c r="H97" s="7"/>
      <c r="I97" s="9"/>
      <c r="J97" s="9"/>
      <c r="K97" s="9"/>
      <c r="L97" s="22"/>
    </row>
    <row r="98" spans="1:12" ht="5.0999999999999996" customHeight="1" x14ac:dyDescent="0.2">
      <c r="A98" s="3"/>
      <c r="B98" s="168"/>
      <c r="C98" s="156"/>
      <c r="D98" s="14"/>
      <c r="E98" s="17"/>
      <c r="F98" s="17"/>
      <c r="G98" s="17"/>
      <c r="H98" s="12"/>
      <c r="I98" s="17"/>
      <c r="J98" s="17"/>
      <c r="K98" s="17"/>
      <c r="L98" s="15"/>
    </row>
    <row r="99" spans="1:12" ht="15.95" customHeight="1" x14ac:dyDescent="0.2">
      <c r="A99" s="3"/>
      <c r="B99" s="168"/>
      <c r="C99" s="156"/>
      <c r="D99" s="18" t="s">
        <v>54</v>
      </c>
      <c r="E99" s="17"/>
      <c r="F99" s="43" t="s">
        <v>46</v>
      </c>
      <c r="G99" s="17"/>
      <c r="H99" s="11" t="s">
        <v>47</v>
      </c>
      <c r="I99" s="17"/>
      <c r="J99" s="41" t="s">
        <v>48</v>
      </c>
      <c r="K99" s="17"/>
      <c r="L99" s="21" t="s">
        <v>79</v>
      </c>
    </row>
    <row r="100" spans="1:12" ht="5.0999999999999996" customHeight="1" x14ac:dyDescent="0.2">
      <c r="A100" s="3"/>
      <c r="B100" s="168"/>
      <c r="C100" s="157"/>
      <c r="D100" s="8"/>
      <c r="E100" s="9"/>
      <c r="F100" s="9"/>
      <c r="G100" s="9"/>
      <c r="H100" s="7"/>
      <c r="I100" s="9"/>
      <c r="J100" s="9"/>
      <c r="K100" s="9"/>
      <c r="L100" s="22"/>
    </row>
    <row r="101" spans="1:12" ht="5.0999999999999996" customHeight="1" x14ac:dyDescent="0.2">
      <c r="A101" s="3"/>
      <c r="B101" s="168"/>
      <c r="C101" s="156"/>
      <c r="D101" s="14"/>
      <c r="E101" s="17"/>
      <c r="F101" s="17"/>
      <c r="G101" s="17"/>
      <c r="H101" s="12"/>
      <c r="I101" s="17"/>
      <c r="J101" s="17"/>
      <c r="K101" s="17"/>
      <c r="L101" s="15"/>
    </row>
    <row r="102" spans="1:12" ht="15.95" customHeight="1" x14ac:dyDescent="0.2">
      <c r="A102" s="3"/>
      <c r="B102" s="168"/>
      <c r="C102" s="156"/>
      <c r="D102" s="18" t="s">
        <v>55</v>
      </c>
      <c r="E102" s="17"/>
      <c r="F102" s="66" t="s">
        <v>46</v>
      </c>
      <c r="G102" s="17"/>
      <c r="H102" s="11" t="s">
        <v>47</v>
      </c>
      <c r="I102" s="17"/>
      <c r="J102" s="20" t="s">
        <v>48</v>
      </c>
      <c r="K102" s="17"/>
      <c r="L102" s="21" t="s">
        <v>47</v>
      </c>
    </row>
    <row r="103" spans="1:12" ht="5.0999999999999996" customHeight="1" x14ac:dyDescent="0.2">
      <c r="A103" s="3"/>
      <c r="B103" s="168"/>
      <c r="C103" s="157"/>
      <c r="D103" s="8"/>
      <c r="E103" s="9"/>
      <c r="F103" s="9"/>
      <c r="G103" s="9"/>
      <c r="H103" s="7"/>
      <c r="I103" s="9"/>
      <c r="J103" s="9"/>
      <c r="K103" s="9"/>
      <c r="L103" s="22"/>
    </row>
    <row r="104" spans="1:12" ht="5.0999999999999996" customHeight="1" x14ac:dyDescent="0.2">
      <c r="A104" s="3"/>
      <c r="B104" s="168"/>
      <c r="C104" s="156"/>
      <c r="D104" s="14"/>
      <c r="E104" s="17"/>
      <c r="F104" s="17"/>
      <c r="G104" s="17"/>
      <c r="H104" s="12"/>
      <c r="I104" s="17"/>
      <c r="J104" s="17"/>
      <c r="K104" s="17"/>
      <c r="L104" s="15"/>
    </row>
    <row r="105" spans="1:12" ht="15.95" customHeight="1" x14ac:dyDescent="0.2">
      <c r="A105" s="3"/>
      <c r="B105" s="168"/>
      <c r="C105" s="156"/>
      <c r="D105" s="18" t="s">
        <v>56</v>
      </c>
      <c r="E105" s="17"/>
      <c r="F105" s="19" t="s">
        <v>46</v>
      </c>
      <c r="G105" s="17"/>
      <c r="H105" s="11" t="s">
        <v>47</v>
      </c>
      <c r="I105" s="17"/>
      <c r="J105" s="20" t="s">
        <v>48</v>
      </c>
      <c r="K105" s="17"/>
      <c r="L105" s="21" t="s">
        <v>47</v>
      </c>
    </row>
    <row r="106" spans="1:12" ht="5.0999999999999996" customHeight="1" x14ac:dyDescent="0.2">
      <c r="A106" s="3"/>
      <c r="B106" s="168"/>
      <c r="C106" s="157"/>
      <c r="D106" s="8"/>
      <c r="E106" s="9"/>
      <c r="F106" s="9"/>
      <c r="G106" s="9"/>
      <c r="H106" s="7"/>
      <c r="I106" s="9"/>
      <c r="J106" s="9"/>
      <c r="K106" s="9"/>
      <c r="L106" s="22"/>
    </row>
    <row r="107" spans="1:12" ht="5.0999999999999996" customHeight="1" x14ac:dyDescent="0.2">
      <c r="A107" s="3"/>
      <c r="B107" s="168"/>
      <c r="C107" s="156"/>
      <c r="D107" s="14"/>
      <c r="E107" s="17"/>
      <c r="F107" s="17"/>
      <c r="G107" s="17"/>
      <c r="H107" s="12"/>
      <c r="I107" s="17"/>
      <c r="J107" s="17"/>
      <c r="K107" s="17"/>
      <c r="L107" s="15"/>
    </row>
    <row r="108" spans="1:12" ht="15.95" customHeight="1" x14ac:dyDescent="0.2">
      <c r="A108" s="3"/>
      <c r="B108" s="168"/>
      <c r="C108" s="156"/>
      <c r="D108" s="18" t="s">
        <v>57</v>
      </c>
      <c r="E108" s="17"/>
      <c r="F108" s="67" t="s">
        <v>46</v>
      </c>
      <c r="G108" s="17"/>
      <c r="H108" s="11" t="s">
        <v>47</v>
      </c>
      <c r="I108" s="17"/>
      <c r="J108" s="20" t="s">
        <v>48</v>
      </c>
      <c r="K108" s="17"/>
      <c r="L108" s="21" t="s">
        <v>47</v>
      </c>
    </row>
    <row r="109" spans="1:12" ht="5.0999999999999996" customHeight="1" x14ac:dyDescent="0.2">
      <c r="A109" s="3"/>
      <c r="B109" s="168"/>
      <c r="C109" s="157"/>
      <c r="D109" s="8"/>
      <c r="E109" s="9"/>
      <c r="F109" s="9"/>
      <c r="G109" s="9"/>
      <c r="H109" s="7"/>
      <c r="I109" s="9"/>
      <c r="J109" s="9"/>
      <c r="K109" s="9"/>
      <c r="L109" s="22"/>
    </row>
    <row r="110" spans="1:12" ht="5.0999999999999996" customHeight="1" x14ac:dyDescent="0.2">
      <c r="A110" s="3"/>
      <c r="B110" s="168"/>
      <c r="C110" s="156"/>
      <c r="D110" s="14"/>
      <c r="E110" s="17"/>
      <c r="F110" s="17"/>
      <c r="G110" s="17"/>
      <c r="H110" s="12"/>
      <c r="I110" s="17"/>
      <c r="J110" s="17"/>
      <c r="K110" s="17"/>
      <c r="L110" s="15"/>
    </row>
    <row r="111" spans="1:12" ht="15.95" customHeight="1" x14ac:dyDescent="0.2">
      <c r="A111" s="3"/>
      <c r="B111" s="168"/>
      <c r="C111" s="156"/>
      <c r="D111" s="18" t="s">
        <v>58</v>
      </c>
      <c r="E111" s="17"/>
      <c r="F111" s="17"/>
      <c r="G111" s="17"/>
      <c r="H111" s="12"/>
      <c r="I111" s="17"/>
      <c r="J111" s="17"/>
      <c r="K111" s="17"/>
      <c r="L111" s="15"/>
    </row>
    <row r="112" spans="1:12" ht="5.0999999999999996" customHeight="1" x14ac:dyDescent="0.2">
      <c r="A112" s="3"/>
      <c r="B112" s="168"/>
      <c r="C112" s="133"/>
      <c r="D112" s="134"/>
      <c r="E112" s="17"/>
      <c r="F112" s="17"/>
      <c r="G112" s="17"/>
      <c r="H112" s="12"/>
      <c r="I112" s="17"/>
      <c r="J112" s="17"/>
      <c r="K112" s="17"/>
      <c r="L112" s="15"/>
    </row>
    <row r="113" spans="1:12" ht="15.75" customHeight="1" x14ac:dyDescent="0.2">
      <c r="A113" s="3"/>
      <c r="B113" s="168"/>
      <c r="C113" s="133"/>
      <c r="D113" s="61" t="s">
        <v>209</v>
      </c>
      <c r="E113" s="17"/>
      <c r="F113" s="148" t="s">
        <v>210</v>
      </c>
      <c r="G113" s="17"/>
      <c r="H113" s="136" t="s">
        <v>98</v>
      </c>
      <c r="I113" s="17"/>
      <c r="J113" s="20" t="s">
        <v>48</v>
      </c>
      <c r="K113" s="17"/>
      <c r="L113" s="21" t="s">
        <v>79</v>
      </c>
    </row>
    <row r="114" spans="1:12" ht="5.0999999999999996" customHeight="1" x14ac:dyDescent="0.2">
      <c r="A114" s="3"/>
      <c r="B114" s="168"/>
      <c r="C114" s="133"/>
      <c r="D114" s="60"/>
      <c r="E114" s="9"/>
      <c r="F114" s="9"/>
      <c r="G114" s="9"/>
      <c r="H114" s="7"/>
      <c r="I114" s="9"/>
      <c r="J114" s="9"/>
      <c r="K114" s="9"/>
      <c r="L114" s="135"/>
    </row>
    <row r="115" spans="1:12" ht="5.0999999999999996" customHeight="1" x14ac:dyDescent="0.2">
      <c r="A115" s="3"/>
      <c r="B115" s="168"/>
      <c r="C115" s="144"/>
      <c r="D115" s="147"/>
      <c r="E115" s="17"/>
      <c r="F115" s="17"/>
      <c r="G115" s="17"/>
      <c r="H115" s="12"/>
      <c r="I115" s="17"/>
      <c r="J115" s="17"/>
      <c r="K115" s="17"/>
      <c r="L115" s="15"/>
    </row>
    <row r="116" spans="1:12" ht="15.75" customHeight="1" x14ac:dyDescent="0.2">
      <c r="A116" s="3"/>
      <c r="B116" s="168"/>
      <c r="C116" s="144"/>
      <c r="D116" s="61" t="s">
        <v>212</v>
      </c>
      <c r="E116" s="17"/>
      <c r="F116" s="148" t="s">
        <v>211</v>
      </c>
      <c r="G116" s="17"/>
      <c r="H116" s="146" t="s">
        <v>98</v>
      </c>
      <c r="I116" s="17"/>
      <c r="J116" s="20" t="s">
        <v>48</v>
      </c>
      <c r="K116" s="17"/>
      <c r="L116" s="21" t="s">
        <v>79</v>
      </c>
    </row>
    <row r="117" spans="1:12" ht="5.0999999999999996" customHeight="1" x14ac:dyDescent="0.2">
      <c r="A117" s="3"/>
      <c r="B117" s="168"/>
      <c r="C117" s="144"/>
      <c r="D117" s="60"/>
      <c r="E117" s="9"/>
      <c r="F117" s="9"/>
      <c r="G117" s="9"/>
      <c r="H117" s="7"/>
      <c r="I117" s="9"/>
      <c r="J117" s="9"/>
      <c r="K117" s="9"/>
      <c r="L117" s="145"/>
    </row>
    <row r="118" spans="1:12" ht="5.0999999999999996" customHeight="1" x14ac:dyDescent="0.2">
      <c r="A118" s="3"/>
      <c r="B118" s="168"/>
      <c r="C118" s="144"/>
      <c r="D118" s="147"/>
      <c r="E118" s="17"/>
      <c r="F118" s="17"/>
      <c r="G118" s="17"/>
      <c r="H118" s="12"/>
      <c r="I118" s="17"/>
      <c r="J118" s="17"/>
      <c r="K118" s="17"/>
      <c r="L118" s="15"/>
    </row>
    <row r="119" spans="1:12" ht="15.75" customHeight="1" x14ac:dyDescent="0.2">
      <c r="A119" s="3"/>
      <c r="B119" s="168"/>
      <c r="C119" s="144"/>
      <c r="D119" s="61" t="s">
        <v>213</v>
      </c>
      <c r="E119" s="17"/>
      <c r="F119" s="148" t="s">
        <v>215</v>
      </c>
      <c r="G119" s="17"/>
      <c r="H119" s="146" t="s">
        <v>98</v>
      </c>
      <c r="I119" s="17"/>
      <c r="J119" s="20" t="s">
        <v>48</v>
      </c>
      <c r="K119" s="17"/>
      <c r="L119" s="21" t="s">
        <v>79</v>
      </c>
    </row>
    <row r="120" spans="1:12" ht="5.0999999999999996" customHeight="1" x14ac:dyDescent="0.2">
      <c r="A120" s="3"/>
      <c r="B120" s="168"/>
      <c r="C120" s="144"/>
      <c r="D120" s="60"/>
      <c r="E120" s="9"/>
      <c r="F120" s="9"/>
      <c r="G120" s="9"/>
      <c r="H120" s="7"/>
      <c r="I120" s="9"/>
      <c r="J120" s="9"/>
      <c r="K120" s="9"/>
      <c r="L120" s="145"/>
    </row>
    <row r="121" spans="1:12" ht="5.0999999999999996" customHeight="1" x14ac:dyDescent="0.2">
      <c r="A121" s="3"/>
      <c r="B121" s="168"/>
      <c r="C121" s="144"/>
      <c r="D121" s="147"/>
      <c r="E121" s="17"/>
      <c r="F121" s="17"/>
      <c r="G121" s="17"/>
      <c r="H121" s="12"/>
      <c r="I121" s="17"/>
      <c r="J121" s="17"/>
      <c r="K121" s="17"/>
      <c r="L121" s="15"/>
    </row>
    <row r="122" spans="1:12" ht="15.75" customHeight="1" x14ac:dyDescent="0.2">
      <c r="A122" s="3"/>
      <c r="B122" s="168"/>
      <c r="C122" s="144"/>
      <c r="D122" s="61" t="s">
        <v>214</v>
      </c>
      <c r="E122" s="17"/>
      <c r="F122" s="148" t="s">
        <v>216</v>
      </c>
      <c r="G122" s="17"/>
      <c r="H122" s="146" t="s">
        <v>98</v>
      </c>
      <c r="I122" s="17"/>
      <c r="J122" s="20" t="s">
        <v>48</v>
      </c>
      <c r="K122" s="17"/>
      <c r="L122" s="21" t="s">
        <v>79</v>
      </c>
    </row>
    <row r="123" spans="1:12" ht="5.0999999999999996" customHeight="1" x14ac:dyDescent="0.2">
      <c r="A123" s="3"/>
      <c r="B123" s="168"/>
      <c r="C123" s="144"/>
      <c r="D123" s="60"/>
      <c r="E123" s="9"/>
      <c r="F123" s="9"/>
      <c r="G123" s="9"/>
      <c r="H123" s="7"/>
      <c r="I123" s="9"/>
      <c r="J123" s="9"/>
      <c r="K123" s="9"/>
      <c r="L123" s="145"/>
    </row>
    <row r="124" spans="1:12" ht="5.0999999999999996" customHeight="1" x14ac:dyDescent="0.2">
      <c r="A124" s="3"/>
      <c r="B124" s="168"/>
      <c r="C124" s="144"/>
      <c r="D124" s="147"/>
      <c r="E124" s="17"/>
      <c r="F124" s="17"/>
      <c r="G124" s="17"/>
      <c r="H124" s="12"/>
      <c r="I124" s="17"/>
      <c r="J124" s="17"/>
      <c r="K124" s="17"/>
      <c r="L124" s="15"/>
    </row>
    <row r="125" spans="1:12" ht="15.75" customHeight="1" x14ac:dyDescent="0.2">
      <c r="A125" s="3"/>
      <c r="B125" s="168"/>
      <c r="C125" s="144"/>
      <c r="D125" s="61" t="s">
        <v>217</v>
      </c>
      <c r="E125" s="17"/>
      <c r="F125" s="148" t="s">
        <v>219</v>
      </c>
      <c r="G125" s="17"/>
      <c r="H125" s="146" t="s">
        <v>98</v>
      </c>
      <c r="I125" s="17"/>
      <c r="J125" s="20" t="s">
        <v>48</v>
      </c>
      <c r="K125" s="17"/>
      <c r="L125" s="21" t="s">
        <v>79</v>
      </c>
    </row>
    <row r="126" spans="1:12" ht="5.0999999999999996" customHeight="1" x14ac:dyDescent="0.2">
      <c r="A126" s="3"/>
      <c r="B126" s="168"/>
      <c r="C126" s="144"/>
      <c r="D126" s="60"/>
      <c r="E126" s="9"/>
      <c r="F126" s="9"/>
      <c r="G126" s="9"/>
      <c r="H126" s="7"/>
      <c r="I126" s="9"/>
      <c r="J126" s="9"/>
      <c r="K126" s="9"/>
      <c r="L126" s="145"/>
    </row>
    <row r="127" spans="1:12" ht="5.0999999999999996" customHeight="1" x14ac:dyDescent="0.2">
      <c r="A127" s="3"/>
      <c r="B127" s="168"/>
      <c r="C127" s="144"/>
      <c r="D127" s="147"/>
      <c r="E127" s="17"/>
      <c r="F127" s="17"/>
      <c r="G127" s="17"/>
      <c r="H127" s="12"/>
      <c r="I127" s="17"/>
      <c r="J127" s="17"/>
      <c r="K127" s="17"/>
      <c r="L127" s="15"/>
    </row>
    <row r="128" spans="1:12" ht="15.75" customHeight="1" x14ac:dyDescent="0.2">
      <c r="A128" s="3"/>
      <c r="B128" s="168"/>
      <c r="C128" s="144"/>
      <c r="D128" s="61" t="s">
        <v>218</v>
      </c>
      <c r="E128" s="17"/>
      <c r="F128" s="148" t="s">
        <v>220</v>
      </c>
      <c r="G128" s="17"/>
      <c r="H128" s="146" t="s">
        <v>98</v>
      </c>
      <c r="I128" s="17"/>
      <c r="J128" s="20" t="s">
        <v>48</v>
      </c>
      <c r="K128" s="17"/>
      <c r="L128" s="21" t="s">
        <v>79</v>
      </c>
    </row>
    <row r="129" spans="1:12" ht="5.0999999999999996" customHeight="1" x14ac:dyDescent="0.2">
      <c r="A129" s="3"/>
      <c r="B129" s="168"/>
      <c r="C129" s="144"/>
      <c r="D129" s="60"/>
      <c r="E129" s="9"/>
      <c r="F129" s="9"/>
      <c r="G129" s="9"/>
      <c r="H129" s="7"/>
      <c r="I129" s="9"/>
      <c r="J129" s="9"/>
      <c r="K129" s="9"/>
      <c r="L129" s="145"/>
    </row>
    <row r="130" spans="1:12" ht="5.0999999999999996" customHeight="1" x14ac:dyDescent="0.2">
      <c r="A130" s="3"/>
      <c r="B130" s="168"/>
      <c r="C130" s="144"/>
      <c r="D130" s="147"/>
      <c r="E130" s="17"/>
      <c r="F130" s="17"/>
      <c r="G130" s="17"/>
      <c r="H130" s="12"/>
      <c r="I130" s="17"/>
      <c r="J130" s="17"/>
      <c r="K130" s="17"/>
      <c r="L130" s="15"/>
    </row>
    <row r="131" spans="1:12" ht="15.75" customHeight="1" x14ac:dyDescent="0.2">
      <c r="A131" s="3"/>
      <c r="B131" s="168"/>
      <c r="C131" s="144"/>
      <c r="D131" s="61" t="s">
        <v>221</v>
      </c>
      <c r="E131" s="17"/>
      <c r="F131" s="148" t="s">
        <v>223</v>
      </c>
      <c r="G131" s="17"/>
      <c r="H131" s="146" t="s">
        <v>98</v>
      </c>
      <c r="I131" s="17"/>
      <c r="J131" s="20" t="s">
        <v>48</v>
      </c>
      <c r="K131" s="17"/>
      <c r="L131" s="21" t="s">
        <v>79</v>
      </c>
    </row>
    <row r="132" spans="1:12" ht="5.0999999999999996" customHeight="1" x14ac:dyDescent="0.2">
      <c r="A132" s="3"/>
      <c r="B132" s="168"/>
      <c r="C132" s="144"/>
      <c r="D132" s="60"/>
      <c r="E132" s="9"/>
      <c r="F132" s="9"/>
      <c r="G132" s="9"/>
      <c r="H132" s="7"/>
      <c r="I132" s="9"/>
      <c r="J132" s="9"/>
      <c r="K132" s="9"/>
      <c r="L132" s="145"/>
    </row>
    <row r="133" spans="1:12" ht="5.0999999999999996" customHeight="1" x14ac:dyDescent="0.2">
      <c r="A133" s="3"/>
      <c r="B133" s="168"/>
      <c r="C133" s="144"/>
      <c r="D133" s="147"/>
      <c r="E133" s="17"/>
      <c r="F133" s="17"/>
      <c r="G133" s="17"/>
      <c r="H133" s="12"/>
      <c r="I133" s="17"/>
      <c r="J133" s="17"/>
      <c r="K133" s="17"/>
      <c r="L133" s="15"/>
    </row>
    <row r="134" spans="1:12" ht="15.75" customHeight="1" x14ac:dyDescent="0.2">
      <c r="A134" s="3"/>
      <c r="B134" s="168"/>
      <c r="C134" s="144"/>
      <c r="D134" s="61" t="s">
        <v>222</v>
      </c>
      <c r="E134" s="17"/>
      <c r="F134" s="148" t="s">
        <v>224</v>
      </c>
      <c r="G134" s="17"/>
      <c r="H134" s="146" t="s">
        <v>98</v>
      </c>
      <c r="I134" s="17"/>
      <c r="J134" s="20" t="s">
        <v>48</v>
      </c>
      <c r="K134" s="17"/>
      <c r="L134" s="21" t="s">
        <v>79</v>
      </c>
    </row>
    <row r="135" spans="1:12" ht="5.0999999999999996" customHeight="1" x14ac:dyDescent="0.2">
      <c r="A135" s="3"/>
      <c r="B135" s="168"/>
      <c r="C135" s="144"/>
      <c r="D135" s="60"/>
      <c r="E135" s="9"/>
      <c r="F135" s="9"/>
      <c r="G135" s="9"/>
      <c r="H135" s="7"/>
      <c r="I135" s="9"/>
      <c r="J135" s="9"/>
      <c r="K135" s="9"/>
      <c r="L135" s="145"/>
    </row>
    <row r="136" spans="1:12" ht="5.0999999999999996" customHeight="1" x14ac:dyDescent="0.2">
      <c r="A136" s="3"/>
      <c r="B136" s="168"/>
      <c r="C136" s="144"/>
      <c r="D136" s="147"/>
      <c r="E136" s="17"/>
      <c r="F136" s="17"/>
      <c r="G136" s="17"/>
      <c r="H136" s="12"/>
      <c r="I136" s="17"/>
      <c r="J136" s="17"/>
      <c r="K136" s="17"/>
      <c r="L136" s="15"/>
    </row>
    <row r="137" spans="1:12" ht="15.75" customHeight="1" x14ac:dyDescent="0.2">
      <c r="A137" s="3"/>
      <c r="B137" s="168"/>
      <c r="C137" s="144"/>
      <c r="D137" s="61" t="s">
        <v>225</v>
      </c>
      <c r="E137" s="17"/>
      <c r="F137" s="148" t="s">
        <v>227</v>
      </c>
      <c r="G137" s="17"/>
      <c r="H137" s="146" t="s">
        <v>98</v>
      </c>
      <c r="I137" s="17"/>
      <c r="J137" s="20" t="s">
        <v>48</v>
      </c>
      <c r="K137" s="17"/>
      <c r="L137" s="21" t="s">
        <v>79</v>
      </c>
    </row>
    <row r="138" spans="1:12" ht="5.0999999999999996" customHeight="1" x14ac:dyDescent="0.2">
      <c r="A138" s="3"/>
      <c r="B138" s="168"/>
      <c r="C138" s="144"/>
      <c r="D138" s="60"/>
      <c r="E138" s="9"/>
      <c r="F138" s="9"/>
      <c r="G138" s="9"/>
      <c r="H138" s="7"/>
      <c r="I138" s="9"/>
      <c r="J138" s="9"/>
      <c r="K138" s="9"/>
      <c r="L138" s="145"/>
    </row>
    <row r="139" spans="1:12" ht="5.0999999999999996" customHeight="1" x14ac:dyDescent="0.2">
      <c r="A139" s="3"/>
      <c r="B139" s="168"/>
      <c r="C139" s="144"/>
      <c r="D139" s="147"/>
      <c r="E139" s="17"/>
      <c r="F139" s="17"/>
      <c r="G139" s="17"/>
      <c r="H139" s="12"/>
      <c r="I139" s="17"/>
      <c r="J139" s="17"/>
      <c r="K139" s="17"/>
      <c r="L139" s="15"/>
    </row>
    <row r="140" spans="1:12" ht="15.75" customHeight="1" x14ac:dyDescent="0.2">
      <c r="A140" s="3"/>
      <c r="B140" s="168"/>
      <c r="C140" s="144"/>
      <c r="D140" s="61" t="s">
        <v>226</v>
      </c>
      <c r="E140" s="17"/>
      <c r="F140" s="148" t="s">
        <v>228</v>
      </c>
      <c r="G140" s="17"/>
      <c r="H140" s="146" t="s">
        <v>98</v>
      </c>
      <c r="I140" s="17"/>
      <c r="J140" s="20" t="s">
        <v>48</v>
      </c>
      <c r="K140" s="17"/>
      <c r="L140" s="21" t="s">
        <v>79</v>
      </c>
    </row>
    <row r="141" spans="1:12" ht="5.0999999999999996" customHeight="1" x14ac:dyDescent="0.2">
      <c r="A141" s="3"/>
      <c r="B141" s="168"/>
      <c r="C141" s="144"/>
      <c r="D141" s="60"/>
      <c r="E141" s="9"/>
      <c r="F141" s="9"/>
      <c r="G141" s="9"/>
      <c r="H141" s="7"/>
      <c r="I141" s="9"/>
      <c r="J141" s="9"/>
      <c r="K141" s="9"/>
      <c r="L141" s="145"/>
    </row>
    <row r="142" spans="1:12" ht="5.0999999999999996" customHeight="1" x14ac:dyDescent="0.2">
      <c r="A142" s="3"/>
      <c r="B142" s="168"/>
      <c r="C142" s="144"/>
      <c r="D142" s="147"/>
      <c r="E142" s="17"/>
      <c r="F142" s="17"/>
      <c r="G142" s="17"/>
      <c r="H142" s="12"/>
      <c r="I142" s="17"/>
      <c r="J142" s="17"/>
      <c r="K142" s="17"/>
      <c r="L142" s="15"/>
    </row>
    <row r="143" spans="1:12" ht="15.75" customHeight="1" x14ac:dyDescent="0.2">
      <c r="A143" s="3"/>
      <c r="B143" s="168"/>
      <c r="C143" s="144"/>
      <c r="D143" s="61" t="s">
        <v>229</v>
      </c>
      <c r="E143" s="17"/>
      <c r="F143" s="148" t="s">
        <v>231</v>
      </c>
      <c r="G143" s="17"/>
      <c r="H143" s="146" t="s">
        <v>98</v>
      </c>
      <c r="I143" s="17"/>
      <c r="J143" s="20" t="s">
        <v>48</v>
      </c>
      <c r="K143" s="17"/>
      <c r="L143" s="21" t="s">
        <v>79</v>
      </c>
    </row>
    <row r="144" spans="1:12" ht="5.0999999999999996" customHeight="1" x14ac:dyDescent="0.2">
      <c r="A144" s="3"/>
      <c r="B144" s="168"/>
      <c r="C144" s="144"/>
      <c r="D144" s="60"/>
      <c r="E144" s="9"/>
      <c r="F144" s="9"/>
      <c r="G144" s="9"/>
      <c r="H144" s="7"/>
      <c r="I144" s="9"/>
      <c r="J144" s="9"/>
      <c r="K144" s="9"/>
      <c r="L144" s="145"/>
    </row>
    <row r="145" spans="1:12" ht="5.0999999999999996" customHeight="1" x14ac:dyDescent="0.2">
      <c r="A145" s="3"/>
      <c r="B145" s="168"/>
      <c r="C145" s="144"/>
      <c r="D145" s="147"/>
      <c r="E145" s="17"/>
      <c r="F145" s="17"/>
      <c r="G145" s="17"/>
      <c r="H145" s="12"/>
      <c r="I145" s="17"/>
      <c r="J145" s="17"/>
      <c r="K145" s="17"/>
      <c r="L145" s="15"/>
    </row>
    <row r="146" spans="1:12" ht="15.75" customHeight="1" x14ac:dyDescent="0.2">
      <c r="A146" s="3"/>
      <c r="B146" s="168"/>
      <c r="C146" s="144"/>
      <c r="D146" s="61" t="s">
        <v>230</v>
      </c>
      <c r="E146" s="17"/>
      <c r="F146" s="148" t="s">
        <v>232</v>
      </c>
      <c r="G146" s="17"/>
      <c r="H146" s="146" t="s">
        <v>98</v>
      </c>
      <c r="I146" s="17"/>
      <c r="J146" s="20" t="s">
        <v>48</v>
      </c>
      <c r="K146" s="17"/>
      <c r="L146" s="21" t="s">
        <v>79</v>
      </c>
    </row>
    <row r="147" spans="1:12" ht="5.0999999999999996" customHeight="1" x14ac:dyDescent="0.2">
      <c r="A147" s="3"/>
      <c r="B147" s="168"/>
      <c r="C147" s="144"/>
      <c r="D147" s="60"/>
      <c r="E147" s="9"/>
      <c r="F147" s="9"/>
      <c r="G147" s="9"/>
      <c r="H147" s="7"/>
      <c r="I147" s="9"/>
      <c r="J147" s="9"/>
      <c r="K147" s="9"/>
      <c r="L147" s="145"/>
    </row>
    <row r="148" spans="1:12" ht="21.95" customHeight="1" x14ac:dyDescent="0.2">
      <c r="A148" s="3"/>
      <c r="B148" s="168"/>
      <c r="C148" s="13"/>
      <c r="D148" s="14"/>
      <c r="E148" s="14"/>
      <c r="F148" s="14"/>
      <c r="G148" s="14"/>
      <c r="H148" s="12"/>
      <c r="I148" s="14"/>
      <c r="J148" s="14"/>
      <c r="K148" s="14"/>
      <c r="L148" s="15"/>
    </row>
    <row r="149" spans="1:12" ht="5.0999999999999996" customHeight="1" thickBot="1" x14ac:dyDescent="0.25">
      <c r="A149" s="3"/>
      <c r="B149" s="175"/>
      <c r="C149" s="26"/>
      <c r="D149" s="27"/>
      <c r="E149" s="27"/>
      <c r="F149" s="27"/>
      <c r="G149" s="27"/>
      <c r="H149" s="31"/>
      <c r="I149" s="27"/>
      <c r="J149" s="27"/>
      <c r="K149" s="27"/>
      <c r="L149" s="28"/>
    </row>
    <row r="150" spans="1:12" ht="24.6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ht="15" thickBo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ht="28.35" customHeight="1" x14ac:dyDescent="0.2">
      <c r="A152" s="3"/>
      <c r="B152" s="161" t="s">
        <v>59</v>
      </c>
      <c r="C152" s="162"/>
      <c r="D152" s="162"/>
      <c r="E152" s="162"/>
      <c r="F152" s="162"/>
      <c r="G152" s="162"/>
      <c r="H152" s="162"/>
      <c r="I152" s="162"/>
      <c r="J152" s="162"/>
      <c r="K152" s="162"/>
      <c r="L152" s="163"/>
    </row>
    <row r="153" spans="1:12" ht="28.35" customHeight="1" x14ac:dyDescent="0.2">
      <c r="A153" s="3"/>
      <c r="B153" s="164"/>
      <c r="C153" s="165"/>
      <c r="D153" s="165"/>
      <c r="E153" s="165"/>
      <c r="F153" s="165"/>
      <c r="G153" s="165"/>
      <c r="H153" s="165"/>
      <c r="I153" s="165"/>
      <c r="J153" s="165"/>
      <c r="K153" s="165"/>
      <c r="L153" s="166"/>
    </row>
    <row r="154" spans="1:12" ht="21.75" customHeight="1" x14ac:dyDescent="0.2">
      <c r="A154" s="3"/>
      <c r="B154" s="167" t="s">
        <v>44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5"/>
    </row>
    <row r="155" spans="1:12" ht="18" customHeight="1" x14ac:dyDescent="0.2">
      <c r="A155" s="3"/>
      <c r="B155" s="168"/>
      <c r="C155" s="6"/>
      <c r="D155" s="7"/>
      <c r="E155" s="158" t="s">
        <v>41</v>
      </c>
      <c r="F155" s="159"/>
      <c r="G155" s="160"/>
      <c r="H155" s="5" t="s">
        <v>42</v>
      </c>
      <c r="I155" s="158" t="s">
        <v>43</v>
      </c>
      <c r="J155" s="159"/>
      <c r="K155" s="160"/>
      <c r="L155" s="16" t="s">
        <v>42</v>
      </c>
    </row>
    <row r="156" spans="1:12" ht="5.0999999999999996" customHeight="1" x14ac:dyDescent="0.2">
      <c r="A156" s="3"/>
      <c r="B156" s="168"/>
      <c r="C156" s="155"/>
      <c r="D156" s="14"/>
      <c r="E156" s="17"/>
      <c r="F156" s="17"/>
      <c r="G156" s="17"/>
      <c r="H156" s="10"/>
      <c r="I156" s="17"/>
      <c r="J156" s="17"/>
      <c r="K156" s="17"/>
      <c r="L156" s="15"/>
    </row>
    <row r="157" spans="1:12" ht="15.75" customHeight="1" x14ac:dyDescent="0.2">
      <c r="A157" s="3"/>
      <c r="B157" s="168"/>
      <c r="C157" s="156"/>
      <c r="D157" s="18" t="s">
        <v>60</v>
      </c>
      <c r="E157" s="17"/>
      <c r="F157" s="19" t="s">
        <v>46</v>
      </c>
      <c r="G157" s="17"/>
      <c r="H157" s="11" t="s">
        <v>47</v>
      </c>
      <c r="I157" s="17"/>
      <c r="J157" s="20" t="s">
        <v>48</v>
      </c>
      <c r="K157" s="17"/>
      <c r="L157" s="21" t="s">
        <v>47</v>
      </c>
    </row>
    <row r="158" spans="1:12" ht="5.0999999999999996" customHeight="1" x14ac:dyDescent="0.2">
      <c r="A158" s="3"/>
      <c r="B158" s="168"/>
      <c r="C158" s="157"/>
      <c r="D158" s="8"/>
      <c r="E158" s="9"/>
      <c r="F158" s="9"/>
      <c r="G158" s="9"/>
      <c r="H158" s="7"/>
      <c r="I158" s="9"/>
      <c r="J158" s="9"/>
      <c r="K158" s="9"/>
      <c r="L158" s="22"/>
    </row>
    <row r="159" spans="1:12" ht="5.0999999999999996" customHeight="1" x14ac:dyDescent="0.2">
      <c r="A159" s="3"/>
      <c r="B159" s="168"/>
      <c r="C159" s="156"/>
      <c r="D159" s="14"/>
      <c r="E159" s="17"/>
      <c r="F159" s="17"/>
      <c r="G159" s="17"/>
      <c r="H159" s="12"/>
      <c r="I159" s="17"/>
      <c r="J159" s="17"/>
      <c r="K159" s="17"/>
      <c r="L159" s="15"/>
    </row>
    <row r="160" spans="1:12" ht="15.75" customHeight="1" x14ac:dyDescent="0.2">
      <c r="A160" s="3"/>
      <c r="B160" s="168"/>
      <c r="C160" s="156"/>
      <c r="D160" s="18" t="s">
        <v>61</v>
      </c>
      <c r="E160" s="17"/>
      <c r="F160" s="19" t="s">
        <v>46</v>
      </c>
      <c r="G160" s="17"/>
      <c r="H160" s="11" t="s">
        <v>47</v>
      </c>
      <c r="I160" s="17"/>
      <c r="J160" s="20" t="s">
        <v>48</v>
      </c>
      <c r="K160" s="17"/>
      <c r="L160" s="21" t="s">
        <v>47</v>
      </c>
    </row>
    <row r="161" spans="1:12" ht="5.0999999999999996" customHeight="1" x14ac:dyDescent="0.2">
      <c r="A161" s="3"/>
      <c r="B161" s="169"/>
      <c r="C161" s="157"/>
      <c r="D161" s="8"/>
      <c r="E161" s="9"/>
      <c r="F161" s="9"/>
      <c r="G161" s="9"/>
      <c r="H161" s="7"/>
      <c r="I161" s="9"/>
      <c r="J161" s="9"/>
      <c r="K161" s="9"/>
      <c r="L161" s="22"/>
    </row>
    <row r="162" spans="1:12" ht="21.75" customHeight="1" x14ac:dyDescent="0.2">
      <c r="A162" s="3"/>
      <c r="B162" s="167" t="s">
        <v>51</v>
      </c>
      <c r="C162" s="14"/>
      <c r="D162" s="14"/>
      <c r="E162" s="14"/>
      <c r="F162" s="14"/>
      <c r="G162" s="14"/>
      <c r="H162" s="14"/>
      <c r="I162" s="14"/>
      <c r="J162" s="14"/>
      <c r="K162" s="14"/>
      <c r="L162" s="15"/>
    </row>
    <row r="163" spans="1:12" ht="18" customHeight="1" x14ac:dyDescent="0.2">
      <c r="A163" s="3"/>
      <c r="B163" s="168"/>
      <c r="C163" s="6"/>
      <c r="D163" s="7"/>
      <c r="E163" s="158" t="s">
        <v>41</v>
      </c>
      <c r="F163" s="159"/>
      <c r="G163" s="160"/>
      <c r="H163" s="5" t="s">
        <v>42</v>
      </c>
      <c r="I163" s="158" t="s">
        <v>43</v>
      </c>
      <c r="J163" s="159"/>
      <c r="K163" s="160"/>
      <c r="L163" s="16" t="s">
        <v>42</v>
      </c>
    </row>
    <row r="164" spans="1:12" ht="5.0999999999999996" customHeight="1" x14ac:dyDescent="0.2">
      <c r="A164" s="3"/>
      <c r="B164" s="168"/>
      <c r="C164" s="155"/>
      <c r="D164" s="14"/>
      <c r="E164" s="17"/>
      <c r="F164" s="17"/>
      <c r="G164" s="17"/>
      <c r="H164" s="10"/>
      <c r="I164" s="17"/>
      <c r="J164" s="17"/>
      <c r="K164" s="17"/>
      <c r="L164" s="15"/>
    </row>
    <row r="165" spans="1:12" ht="15.75" customHeight="1" x14ac:dyDescent="0.2">
      <c r="A165" s="3"/>
      <c r="B165" s="168"/>
      <c r="C165" s="156"/>
      <c r="D165" s="18" t="s">
        <v>60</v>
      </c>
      <c r="E165" s="17"/>
      <c r="F165" s="19" t="s">
        <v>46</v>
      </c>
      <c r="G165" s="17"/>
      <c r="H165" s="11" t="s">
        <v>47</v>
      </c>
      <c r="I165" s="17"/>
      <c r="J165" s="20" t="s">
        <v>48</v>
      </c>
      <c r="K165" s="17"/>
      <c r="L165" s="21" t="s">
        <v>47</v>
      </c>
    </row>
    <row r="166" spans="1:12" ht="5.0999999999999996" customHeight="1" x14ac:dyDescent="0.2">
      <c r="A166" s="3"/>
      <c r="B166" s="168"/>
      <c r="C166" s="157"/>
      <c r="D166" s="8"/>
      <c r="E166" s="9"/>
      <c r="F166" s="9"/>
      <c r="G166" s="9"/>
      <c r="H166" s="7"/>
      <c r="I166" s="9"/>
      <c r="J166" s="9"/>
      <c r="K166" s="9"/>
      <c r="L166" s="22"/>
    </row>
    <row r="167" spans="1:12" ht="5.0999999999999996" customHeight="1" x14ac:dyDescent="0.2">
      <c r="A167" s="3"/>
      <c r="B167" s="168"/>
      <c r="C167" s="156"/>
      <c r="D167" s="14"/>
      <c r="E167" s="17"/>
      <c r="F167" s="17"/>
      <c r="G167" s="17"/>
      <c r="H167" s="12"/>
      <c r="I167" s="17"/>
      <c r="J167" s="17"/>
      <c r="K167" s="17"/>
      <c r="L167" s="15"/>
    </row>
    <row r="168" spans="1:12" ht="15.75" customHeight="1" x14ac:dyDescent="0.2">
      <c r="A168" s="3"/>
      <c r="B168" s="168"/>
      <c r="C168" s="156"/>
      <c r="D168" s="18" t="s">
        <v>61</v>
      </c>
      <c r="E168" s="17"/>
      <c r="F168" s="19" t="s">
        <v>46</v>
      </c>
      <c r="G168" s="17"/>
      <c r="H168" s="11" t="s">
        <v>47</v>
      </c>
      <c r="I168" s="17"/>
      <c r="J168" s="20" t="s">
        <v>48</v>
      </c>
      <c r="K168" s="17"/>
      <c r="L168" s="21" t="s">
        <v>47</v>
      </c>
    </row>
    <row r="169" spans="1:12" ht="5.0999999999999996" customHeight="1" thickBot="1" x14ac:dyDescent="0.25">
      <c r="A169" s="3"/>
      <c r="B169" s="175"/>
      <c r="C169" s="174"/>
      <c r="D169" s="27"/>
      <c r="E169" s="32"/>
      <c r="F169" s="32"/>
      <c r="G169" s="32"/>
      <c r="H169" s="31"/>
      <c r="I169" s="32"/>
      <c r="J169" s="32"/>
      <c r="K169" s="32"/>
      <c r="L169" s="28"/>
    </row>
    <row r="170" spans="1:12" ht="1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ht="28.35" customHeight="1" x14ac:dyDescent="0.2">
      <c r="A172" s="3"/>
      <c r="B172" s="176" t="s">
        <v>62</v>
      </c>
      <c r="C172" s="177"/>
      <c r="D172" s="177"/>
      <c r="E172" s="177"/>
      <c r="F172" s="177"/>
      <c r="G172" s="177"/>
      <c r="H172" s="177"/>
      <c r="I172" s="177"/>
      <c r="J172" s="177"/>
      <c r="K172" s="177"/>
      <c r="L172" s="178"/>
    </row>
    <row r="173" spans="1:12" ht="18" customHeight="1" x14ac:dyDescent="0.2">
      <c r="A173" s="3"/>
      <c r="B173" s="170"/>
      <c r="C173" s="14"/>
      <c r="D173" s="14"/>
      <c r="E173" s="14"/>
      <c r="F173" s="14"/>
      <c r="G173" s="14"/>
      <c r="H173" s="14"/>
      <c r="I173" s="14"/>
      <c r="J173" s="14"/>
      <c r="K173" s="14"/>
      <c r="L173" s="12"/>
    </row>
    <row r="174" spans="1:12" ht="17.100000000000001" customHeight="1" x14ac:dyDescent="0.2">
      <c r="A174" s="3"/>
      <c r="B174" s="170"/>
      <c r="C174" s="6"/>
      <c r="D174" s="7"/>
      <c r="E174" s="158" t="s">
        <v>43</v>
      </c>
      <c r="F174" s="159"/>
      <c r="G174" s="160"/>
      <c r="H174" s="158" t="s">
        <v>42</v>
      </c>
      <c r="I174" s="159"/>
      <c r="J174" s="159"/>
      <c r="K174" s="159"/>
      <c r="L174" s="160"/>
    </row>
    <row r="175" spans="1:12" ht="5.0999999999999996" customHeight="1" x14ac:dyDescent="0.2">
      <c r="A175" s="3"/>
      <c r="B175" s="170"/>
      <c r="C175" s="155"/>
      <c r="D175" s="14"/>
      <c r="E175" s="17"/>
      <c r="F175" s="17"/>
      <c r="G175" s="17"/>
      <c r="H175" s="14"/>
      <c r="I175" s="14"/>
      <c r="J175" s="14"/>
      <c r="K175" s="14"/>
      <c r="L175" s="12"/>
    </row>
    <row r="176" spans="1:12" ht="15.75" customHeight="1" x14ac:dyDescent="0.2">
      <c r="A176" s="3"/>
      <c r="B176" s="170"/>
      <c r="C176" s="156"/>
      <c r="D176" s="18" t="s">
        <v>45</v>
      </c>
      <c r="E176" s="17"/>
      <c r="F176" s="20" t="s">
        <v>48</v>
      </c>
      <c r="G176" s="17"/>
      <c r="H176" s="172" t="s">
        <v>47</v>
      </c>
      <c r="I176" s="172"/>
      <c r="J176" s="172"/>
      <c r="K176" s="172"/>
      <c r="L176" s="173"/>
    </row>
    <row r="177" spans="1:12" ht="5.0999999999999996" customHeight="1" x14ac:dyDescent="0.2">
      <c r="A177" s="3"/>
      <c r="B177" s="170"/>
      <c r="C177" s="157"/>
      <c r="D177" s="8"/>
      <c r="E177" s="9"/>
      <c r="F177" s="9"/>
      <c r="G177" s="9"/>
      <c r="H177" s="8"/>
      <c r="I177" s="8"/>
      <c r="J177" s="8"/>
      <c r="K177" s="8"/>
      <c r="L177" s="7"/>
    </row>
    <row r="178" spans="1:12" ht="5.0999999999999996" customHeight="1" x14ac:dyDescent="0.2">
      <c r="A178" s="3"/>
      <c r="B178" s="170"/>
      <c r="C178" s="156"/>
      <c r="D178" s="14"/>
      <c r="E178" s="17"/>
      <c r="F178" s="17"/>
      <c r="G178" s="17"/>
      <c r="H178" s="14"/>
      <c r="I178" s="14"/>
      <c r="J178" s="14"/>
      <c r="K178" s="14"/>
      <c r="L178" s="12"/>
    </row>
    <row r="179" spans="1:12" ht="15.75" customHeight="1" x14ac:dyDescent="0.2">
      <c r="A179" s="3"/>
      <c r="B179" s="170"/>
      <c r="C179" s="156"/>
      <c r="D179" s="18" t="s">
        <v>63</v>
      </c>
      <c r="E179" s="17"/>
      <c r="F179" s="17"/>
      <c r="G179" s="17"/>
      <c r="H179" s="14"/>
      <c r="I179" s="14"/>
      <c r="J179" s="14"/>
      <c r="K179" s="14"/>
      <c r="L179" s="12"/>
    </row>
    <row r="180" spans="1:12" ht="21.95" customHeight="1" x14ac:dyDescent="0.2">
      <c r="A180" s="3"/>
      <c r="B180" s="170"/>
      <c r="C180" s="13"/>
      <c r="D180" s="14"/>
      <c r="E180" s="14"/>
      <c r="F180" s="14"/>
      <c r="G180" s="14"/>
      <c r="H180" s="14"/>
      <c r="I180" s="14"/>
      <c r="J180" s="14"/>
      <c r="K180" s="14"/>
      <c r="L180" s="12"/>
    </row>
    <row r="181" spans="1:12" ht="5.0999999999999996" customHeight="1" x14ac:dyDescent="0.2">
      <c r="A181" s="3"/>
      <c r="B181" s="171"/>
      <c r="C181" s="33"/>
      <c r="D181" s="8"/>
      <c r="E181" s="8"/>
      <c r="F181" s="8"/>
      <c r="G181" s="8"/>
      <c r="H181" s="8"/>
      <c r="I181" s="8"/>
      <c r="J181" s="8"/>
      <c r="K181" s="8"/>
      <c r="L181" s="7"/>
    </row>
    <row r="182" spans="1:12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ht="28.3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ht="28.3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ht="18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ht="17.100000000000001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ht="5.0999999999999996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ht="15.75" customHeight="1" x14ac:dyDescent="0.2"/>
    <row r="190" spans="1:12" ht="5.0999999999999996" customHeight="1" x14ac:dyDescent="0.2"/>
    <row r="191" spans="1:12" ht="5.0999999999999996" customHeight="1" x14ac:dyDescent="0.2"/>
    <row r="192" spans="1:12" ht="15.75" customHeight="1" x14ac:dyDescent="0.2"/>
    <row r="193" ht="5.0999999999999996" customHeight="1" x14ac:dyDescent="0.2"/>
  </sheetData>
  <sheetProtection algorithmName="SHA-512" hashValue="vCpA3B34ejxjfZGAe+QREb7WrHso2ZL6RlDE+OG2KVcLfP7aGcaEb9bsWva4p1Av01/DbioQX3DNx4Tq5RxGag==" saltValue="5kdVKZ/HfRa9AoYWsiizkA==" spinCount="100000" sheet="1" objects="1" scenarios="1" formatCells="0" formatColumns="0" formatRows="0"/>
  <mergeCells count="59">
    <mergeCell ref="C37:C38"/>
    <mergeCell ref="E30:G30"/>
    <mergeCell ref="I30:K30"/>
    <mergeCell ref="B7:B27"/>
    <mergeCell ref="D16:D17"/>
    <mergeCell ref="C16:C17"/>
    <mergeCell ref="B28:B60"/>
    <mergeCell ref="D37:D38"/>
    <mergeCell ref="C31:C33"/>
    <mergeCell ref="C34:C36"/>
    <mergeCell ref="B1:L1"/>
    <mergeCell ref="B5:L5"/>
    <mergeCell ref="B6:L6"/>
    <mergeCell ref="C10:C12"/>
    <mergeCell ref="C13:C15"/>
    <mergeCell ref="E9:G9"/>
    <mergeCell ref="I9:K9"/>
    <mergeCell ref="I67:K67"/>
    <mergeCell ref="B66:B92"/>
    <mergeCell ref="B64:L64"/>
    <mergeCell ref="B65:L65"/>
    <mergeCell ref="C95:C97"/>
    <mergeCell ref="E67:G67"/>
    <mergeCell ref="C110:C111"/>
    <mergeCell ref="E94:G94"/>
    <mergeCell ref="I94:K94"/>
    <mergeCell ref="B93:B149"/>
    <mergeCell ref="C68:C70"/>
    <mergeCell ref="C98:C100"/>
    <mergeCell ref="C101:C103"/>
    <mergeCell ref="C104:C106"/>
    <mergeCell ref="C77:C79"/>
    <mergeCell ref="C80:C82"/>
    <mergeCell ref="C83:C84"/>
    <mergeCell ref="C107:C109"/>
    <mergeCell ref="B173:B181"/>
    <mergeCell ref="H176:L176"/>
    <mergeCell ref="C164:C166"/>
    <mergeCell ref="C167:C169"/>
    <mergeCell ref="E163:G163"/>
    <mergeCell ref="I163:K163"/>
    <mergeCell ref="B162:B169"/>
    <mergeCell ref="B172:L172"/>
    <mergeCell ref="Q7:Q19"/>
    <mergeCell ref="Q22:Q29"/>
    <mergeCell ref="Q33:Q39"/>
    <mergeCell ref="C175:C177"/>
    <mergeCell ref="C178:C179"/>
    <mergeCell ref="E174:G174"/>
    <mergeCell ref="H174:L174"/>
    <mergeCell ref="B152:L152"/>
    <mergeCell ref="B153:L153"/>
    <mergeCell ref="C156:C158"/>
    <mergeCell ref="C159:C161"/>
    <mergeCell ref="E155:G155"/>
    <mergeCell ref="I155:K155"/>
    <mergeCell ref="B154:B161"/>
    <mergeCell ref="C71:C73"/>
    <mergeCell ref="C74:C76"/>
  </mergeCells>
  <pageMargins left="0.7" right="0.7" top="0.75" bottom="0.75" header="0.3" footer="0.3"/>
  <pageSetup orientation="portrait" r:id="rId1"/>
  <customProperties>
    <customPr name="EpmWorksheetKeyString_GUID" r:id="rId2"/>
  </customProperties>
  <drawing r:id="rId3"/>
  <legacyDrawing r:id="rId4"/>
  <controls>
    <mc:AlternateContent xmlns:mc="http://schemas.openxmlformats.org/markup-compatibility/2006">
      <mc:Choice Requires="x14">
        <control shapeId="2049" r:id="rId5" name="cbApplyLevelFormatting">
          <controlPr defaultSize="0" autoFill="0" autoLine="0" autoPict="0" r:id="rId6">
            <anchor moveWithCells="1">
              <from>
                <xdr:col>7</xdr:col>
                <xdr:colOff>1314450</xdr:colOff>
                <xdr:row>4</xdr:row>
                <xdr:rowOff>66675</xdr:rowOff>
              </from>
              <to>
                <xdr:col>7</xdr:col>
                <xdr:colOff>1438275</xdr:colOff>
                <xdr:row>5</xdr:row>
                <xdr:rowOff>0</xdr:rowOff>
              </to>
            </anchor>
          </controlPr>
        </control>
      </mc:Choice>
      <mc:Fallback>
        <control shapeId="2049" r:id="rId5" name="cbApplyLevelFormatting"/>
      </mc:Fallback>
    </mc:AlternateContent>
    <mc:AlternateContent xmlns:mc="http://schemas.openxmlformats.org/markup-compatibility/2006">
      <mc:Choice Requires="x14">
        <control shapeId="2075" r:id="rId7" name="cbApplyMemberFormatting">
          <controlPr defaultSize="0" autoFill="0" autoLine="0" autoPict="0" r:id="rId8">
            <anchor moveWithCells="1">
              <from>
                <xdr:col>9</xdr:col>
                <xdr:colOff>933450</xdr:colOff>
                <xdr:row>63</xdr:row>
                <xdr:rowOff>66675</xdr:rowOff>
              </from>
              <to>
                <xdr:col>10</xdr:col>
                <xdr:colOff>104775</xdr:colOff>
                <xdr:row>64</xdr:row>
                <xdr:rowOff>0</xdr:rowOff>
              </to>
            </anchor>
          </controlPr>
        </control>
      </mc:Choice>
      <mc:Fallback>
        <control shapeId="2075" r:id="rId7" name="cbApplyMemberFormatting"/>
      </mc:Fallback>
    </mc:AlternateContent>
    <mc:AlternateContent xmlns:mc="http://schemas.openxmlformats.org/markup-compatibility/2006">
      <mc:Choice Requires="x14">
        <control shapeId="2093" r:id="rId9" name="cbApplyOddEvenFormatting">
          <controlPr defaultSize="0" autoFill="0" autoLine="0" autoPict="0" r:id="rId10">
            <anchor moveWithCells="1">
              <from>
                <xdr:col>9</xdr:col>
                <xdr:colOff>400050</xdr:colOff>
                <xdr:row>151</xdr:row>
                <xdr:rowOff>66675</xdr:rowOff>
              </from>
              <to>
                <xdr:col>9</xdr:col>
                <xdr:colOff>523875</xdr:colOff>
                <xdr:row>152</xdr:row>
                <xdr:rowOff>0</xdr:rowOff>
              </to>
            </anchor>
          </controlPr>
        </control>
      </mc:Choice>
      <mc:Fallback>
        <control shapeId="2093" r:id="rId9" name="cbApplyOddEvenFormatting"/>
      </mc:Fallback>
    </mc:AlternateContent>
    <mc:AlternateContent xmlns:mc="http://schemas.openxmlformats.org/markup-compatibility/2006">
      <mc:Choice Requires="x14">
        <control shapeId="2101" r:id="rId11" name="cbApplyPageHeaderFormatting">
          <controlPr defaultSize="0" autoFill="0" autoLine="0" autoPict="0" r:id="rId12">
            <anchor moveWithCells="1">
              <from>
                <xdr:col>7</xdr:col>
                <xdr:colOff>1524000</xdr:colOff>
                <xdr:row>171</xdr:row>
                <xdr:rowOff>66675</xdr:rowOff>
              </from>
              <to>
                <xdr:col>7</xdr:col>
                <xdr:colOff>1647825</xdr:colOff>
                <xdr:row>172</xdr:row>
                <xdr:rowOff>0</xdr:rowOff>
              </to>
            </anchor>
          </controlPr>
        </control>
      </mc:Choice>
      <mc:Fallback>
        <control shapeId="2101" r:id="rId11" name="cbApplyPageHeaderFormatting"/>
      </mc:Fallback>
    </mc:AlternateContent>
    <mc:AlternateContent xmlns:mc="http://schemas.openxmlformats.org/markup-compatibility/2006">
      <mc:Choice Requires="x14">
        <control shapeId="2050" r:id="rId13" name="Ryhmän kehys 2">
          <controlPr defaultSize="0" autoPict="0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3</xdr:col>
                <xdr:colOff>2800350</xdr:colOff>
                <xdr:row>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1" r:id="rId14" name="obLevelRowFirst">
          <controlPr defaultSize="0" autoFill="0" autoLine="0" autoPict="0" macro="_xll.FPMXLClient.TechnicalCategory.ButtonActionInEPMClientFormattingSheet">
            <anchor moveWithCells="1">
              <from>
                <xdr:col>3</xdr:col>
                <xdr:colOff>485775</xdr:colOff>
                <xdr:row>5</xdr:row>
                <xdr:rowOff>57150</xdr:rowOff>
              </from>
              <to>
                <xdr:col>3</xdr:col>
                <xdr:colOff>2609850</xdr:colOff>
                <xdr:row>5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2" r:id="rId15" name="obLevelColumnFirst">
          <controlPr defaultSize="0" autoFill="0" autoLine="0" autoPict="0" macro="_xll.FPMXLClient.TechnicalCategory.ButtonActionInEPMClientFormattingSheet">
            <anchor moveWithCells="1">
              <from>
                <xdr:col>1</xdr:col>
                <xdr:colOff>209550</xdr:colOff>
                <xdr:row>5</xdr:row>
                <xdr:rowOff>57150</xdr:rowOff>
              </from>
              <to>
                <xdr:col>3</xdr:col>
                <xdr:colOff>447675</xdr:colOff>
                <xdr:row>5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3" r:id="rId16" name="Ryhmän kehys 5">
          <controlPr defaultSize="0" autoPict="0">
            <anchor moveWithCells="1">
              <from>
                <xdr:col>3</xdr:col>
                <xdr:colOff>2752725</xdr:colOff>
                <xdr:row>5</xdr:row>
                <xdr:rowOff>0</xdr:rowOff>
              </from>
              <to>
                <xdr:col>10</xdr:col>
                <xdr:colOff>171450</xdr:colOff>
                <xdr:row>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4" r:id="rId17" name="obRelativeLevelHierarchy">
          <controlPr defaultSize="0" autoFill="0" autoLine="0" autoPict="0" macro="_xll.FPMXLClient.TechnicalCategory.ButtonActionInEPMClientFormattingSheet">
            <anchor moveWithCells="1">
              <from>
                <xdr:col>3</xdr:col>
                <xdr:colOff>4229100</xdr:colOff>
                <xdr:row>5</xdr:row>
                <xdr:rowOff>57150</xdr:rowOff>
              </from>
              <to>
                <xdr:col>6</xdr:col>
                <xdr:colOff>171450</xdr:colOff>
                <xdr:row>5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5" r:id="rId18" name="obDatabaseLevelHierarchy">
          <controlPr defaultSize="0" autoFill="0" autoLine="0" autoPict="0" macro="_xll.FPMXLClient.TechnicalCategory.ButtonActionInEPMClientFormattingSheet">
            <anchor moveWithCells="1">
              <from>
                <xdr:col>3</xdr:col>
                <xdr:colOff>2771775</xdr:colOff>
                <xdr:row>5</xdr:row>
                <xdr:rowOff>57150</xdr:rowOff>
              </from>
              <to>
                <xdr:col>3</xdr:col>
                <xdr:colOff>4200525</xdr:colOff>
                <xdr:row>5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6" r:id="rId19" name="cbApplyLevelFromTopToBottom">
          <controlPr defaultSize="0" autoFill="0" autoLine="0" autoPict="0">
            <anchor moveWithCells="1">
              <from>
                <xdr:col>7</xdr:col>
                <xdr:colOff>19050</xdr:colOff>
                <xdr:row>5</xdr:row>
                <xdr:rowOff>0</xdr:rowOff>
              </from>
              <to>
                <xdr:col>11</xdr:col>
                <xdr:colOff>2419350</xdr:colOff>
                <xdr:row>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7" r:id="rId20" name="LVL1tbFormattingByLevel">
          <controlPr defaultSize="0" autoFill="0" autoPict="0">
            <anchor moveWithCells="1" sizeWithCells="1">
              <from>
                <xdr:col>10</xdr:col>
                <xdr:colOff>19050</xdr:colOff>
                <xdr:row>27</xdr:row>
                <xdr:rowOff>133350</xdr:rowOff>
              </from>
              <to>
                <xdr:col>11</xdr:col>
                <xdr:colOff>1133475</xdr:colOff>
                <xdr:row>28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8" r:id="rId21" name="Ryhmän kehys 10">
          <controlPr defaultSize="0" autoPict="0">
            <anchor moveWithCells="1">
              <from>
                <xdr:col>10</xdr:col>
                <xdr:colOff>209550</xdr:colOff>
                <xdr:row>27</xdr:row>
                <xdr:rowOff>0</xdr:rowOff>
              </from>
              <to>
                <xdr:col>12</xdr:col>
                <xdr:colOff>0</xdr:colOff>
                <xdr:row>29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9" r:id="rId22" name="obLevelOuterFirst">
          <controlPr defaultSize="0" autoFill="0" autoLine="0" autoPict="0">
            <anchor moveWithCells="1">
              <from>
                <xdr:col>11</xdr:col>
                <xdr:colOff>904875</xdr:colOff>
                <xdr:row>27</xdr:row>
                <xdr:rowOff>228600</xdr:rowOff>
              </from>
              <to>
                <xdr:col>11</xdr:col>
                <xdr:colOff>2105025</xdr:colOff>
                <xdr:row>28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0" r:id="rId23" name="obLevelInnerFirst">
          <controlPr defaultSize="0" autoFill="0" autoLine="0" autoPict="0">
            <anchor moveWithCells="1">
              <from>
                <xdr:col>11</xdr:col>
                <xdr:colOff>904875</xdr:colOff>
                <xdr:row>27</xdr:row>
                <xdr:rowOff>19050</xdr:rowOff>
              </from>
              <to>
                <xdr:col>11</xdr:col>
                <xdr:colOff>2105025</xdr:colOff>
                <xdr:row>27</xdr:row>
                <xdr:rowOff>238125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1" r:id="rId24" name="cbUseDefaultLevelFirst">
          <controlPr defaultSize="0" autoFill="0" autoLine="0" autoPict="0">
            <anchor moveWithCells="1">
              <from>
                <xdr:col>2</xdr:col>
                <xdr:colOff>123825</xdr:colOff>
                <xdr:row>29</xdr:row>
                <xdr:rowOff>200025</xdr:rowOff>
              </from>
              <to>
                <xdr:col>2</xdr:col>
                <xdr:colOff>1019175</xdr:colOff>
                <xdr:row>32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2" r:id="rId25" name="cbUseLeafLevelFirst">
          <controlPr defaultSize="0" autoFill="0" autoLine="0" autoPict="0">
            <anchor moveWithCells="1">
              <from>
                <xdr:col>2</xdr:col>
                <xdr:colOff>123825</xdr:colOff>
                <xdr:row>33</xdr:row>
                <xdr:rowOff>0</xdr:rowOff>
              </from>
              <to>
                <xdr:col>2</xdr:col>
                <xdr:colOff>1019175</xdr:colOff>
                <xdr:row>35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3" r:id="rId26" name="cbUseSpecificLevelFirst">
          <controlPr defaultSize="0" autoFill="0" autoLine="0" autoPict="0">
            <anchor moveWithCells="1">
              <from>
                <xdr:col>2</xdr:col>
                <xdr:colOff>123825</xdr:colOff>
                <xdr:row>36</xdr:row>
                <xdr:rowOff>38100</xdr:rowOff>
              </from>
              <to>
                <xdr:col>2</xdr:col>
                <xdr:colOff>1019175</xdr:colOff>
                <xdr:row>37</xdr:row>
                <xdr:rowOff>114300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4" r:id="rId27" name="AddLevelFirst">
          <controlPr defaultSize="0" print="0" autoFill="0" autoPict="0" macro="_xll.FPMXLClient.TechnicalCategory.ButtonActionInEPMClientFormattingSheet">
            <anchor moveWithCells="1" sizeWithCells="1">
              <from>
                <xdr:col>3</xdr:col>
                <xdr:colOff>57150</xdr:colOff>
                <xdr:row>58</xdr:row>
                <xdr:rowOff>28575</xdr:rowOff>
              </from>
              <to>
                <xdr:col>3</xdr:col>
                <xdr:colOff>2124075</xdr:colOff>
                <xdr:row>59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5" r:id="rId28" name="RemoveLevelFirst">
          <controlPr defaultSize="0" print="0" autoFill="0" autoPict="0" macro="_xll.FPMXLClient.TechnicalCategory.ButtonActionInEPMClientFormattingSheet">
            <anchor moveWithCells="1" sizeWithCells="1">
              <from>
                <xdr:col>3</xdr:col>
                <xdr:colOff>2228850</xdr:colOff>
                <xdr:row>58</xdr:row>
                <xdr:rowOff>28575</xdr:rowOff>
              </from>
              <to>
                <xdr:col>3</xdr:col>
                <xdr:colOff>4295775</xdr:colOff>
                <xdr:row>59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6" r:id="rId29" name="LVL2tbFormattingByLevel">
          <controlPr defaultSize="0" autoFill="0" autoPict="0">
            <anchor moveWithCells="1" sizeWithCells="1">
              <from>
                <xdr:col>10</xdr:col>
                <xdr:colOff>19050</xdr:colOff>
                <xdr:row>6</xdr:row>
                <xdr:rowOff>142875</xdr:rowOff>
              </from>
              <to>
                <xdr:col>11</xdr:col>
                <xdr:colOff>1133475</xdr:colOff>
                <xdr:row>7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7" r:id="rId30" name="Ryhmän kehys 19">
          <controlPr defaultSize="0" autoPict="0">
            <anchor moveWithCells="1">
              <from>
                <xdr:col>10</xdr:col>
                <xdr:colOff>209550</xdr:colOff>
                <xdr:row>60</xdr:row>
                <xdr:rowOff>0</xdr:rowOff>
              </from>
              <to>
                <xdr:col>12</xdr:col>
                <xdr:colOff>0</xdr:colOff>
                <xdr:row>62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8" r:id="rId31" name="obLevelOuterSecond">
          <controlPr defaultSize="0" autoFill="0" autoLine="0" autoPict="0">
            <anchor moveWithCells="1">
              <from>
                <xdr:col>11</xdr:col>
                <xdr:colOff>904875</xdr:colOff>
                <xdr:row>6</xdr:row>
                <xdr:rowOff>228600</xdr:rowOff>
              </from>
              <to>
                <xdr:col>11</xdr:col>
                <xdr:colOff>2105025</xdr:colOff>
                <xdr:row>7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9" r:id="rId32" name="obLevelInnerSecond">
          <controlPr defaultSize="0" autoFill="0" autoLine="0" autoPict="0">
            <anchor moveWithCells="1">
              <from>
                <xdr:col>11</xdr:col>
                <xdr:colOff>904875</xdr:colOff>
                <xdr:row>6</xdr:row>
                <xdr:rowOff>38100</xdr:rowOff>
              </from>
              <to>
                <xdr:col>11</xdr:col>
                <xdr:colOff>2105025</xdr:colOff>
                <xdr:row>6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0" r:id="rId33" name="cbUseDefaultLevelSecond">
          <controlPr defaultSize="0" autoFill="0" autoLine="0" autoPict="0">
            <anchor moveWithCells="1">
              <from>
                <xdr:col>2</xdr:col>
                <xdr:colOff>123825</xdr:colOff>
                <xdr:row>9</xdr:row>
                <xdr:rowOff>0</xdr:rowOff>
              </from>
              <to>
                <xdr:col>2</xdr:col>
                <xdr:colOff>1019175</xdr:colOff>
                <xdr:row>11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1" r:id="rId34" name="cbUseLeafLevelSecond">
          <controlPr defaultSize="0" autoFill="0" autoLine="0" autoPict="0">
            <anchor moveWithCells="1">
              <from>
                <xdr:col>2</xdr:col>
                <xdr:colOff>123825</xdr:colOff>
                <xdr:row>12</xdr:row>
                <xdr:rowOff>0</xdr:rowOff>
              </from>
              <to>
                <xdr:col>2</xdr:col>
                <xdr:colOff>1019175</xdr:colOff>
                <xdr:row>14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2" r:id="rId35" name="cbUseSpecificLevelSecond">
          <controlPr defaultSize="0" autoFill="0" autoLine="0" autoPict="0">
            <anchor moveWithCells="1">
              <from>
                <xdr:col>2</xdr:col>
                <xdr:colOff>123825</xdr:colOff>
                <xdr:row>15</xdr:row>
                <xdr:rowOff>38100</xdr:rowOff>
              </from>
              <to>
                <xdr:col>2</xdr:col>
                <xdr:colOff>1019175</xdr:colOff>
                <xdr:row>16</xdr:row>
                <xdr:rowOff>114300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3" r:id="rId36" name="AddLevelSecond">
          <controlPr defaultSize="0" print="0" autoFill="0" autoPict="0" macro="_xll.FPMXLClient.TechnicalCategory.ButtonActionInEPMClientFormattingSheet">
            <anchor moveWithCells="1" sizeWithCells="1">
              <from>
                <xdr:col>3</xdr:col>
                <xdr:colOff>57150</xdr:colOff>
                <xdr:row>25</xdr:row>
                <xdr:rowOff>19050</xdr:rowOff>
              </from>
              <to>
                <xdr:col>3</xdr:col>
                <xdr:colOff>2124075</xdr:colOff>
                <xdr:row>26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4" r:id="rId37" name="RemoveLevelSecond">
          <controlPr defaultSize="0" print="0" autoFill="0" autoPict="0" macro="_xll.FPMXLClient.TechnicalCategory.ButtonActionInEPMClientFormattingSheet">
            <anchor moveWithCells="1" sizeWithCells="1">
              <from>
                <xdr:col>3</xdr:col>
                <xdr:colOff>2228850</xdr:colOff>
                <xdr:row>25</xdr:row>
                <xdr:rowOff>19050</xdr:rowOff>
              </from>
              <to>
                <xdr:col>3</xdr:col>
                <xdr:colOff>4295775</xdr:colOff>
                <xdr:row>26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6" r:id="rId38" name="Ryhmän kehys 28">
          <controlPr defaultSize="0" autoPict="0">
            <anchor moveWithCells="1">
              <from>
                <xdr:col>1</xdr:col>
                <xdr:colOff>0</xdr:colOff>
                <xdr:row>64</xdr:row>
                <xdr:rowOff>0</xdr:rowOff>
              </from>
              <to>
                <xdr:col>12</xdr:col>
                <xdr:colOff>0</xdr:colOff>
                <xdr:row>65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7" r:id="rId39" name="obMemberRowFirst">
          <controlPr defaultSize="0" autoFill="0" autoLine="0" autoPict="0" macro="_xll.FPMXLClient.TechnicalCategory.ButtonActionInEPMClientFormattingSheet">
            <anchor moveWithCells="1">
              <from>
                <xdr:col>3</xdr:col>
                <xdr:colOff>485775</xdr:colOff>
                <xdr:row>64</xdr:row>
                <xdr:rowOff>57150</xdr:rowOff>
              </from>
              <to>
                <xdr:col>3</xdr:col>
                <xdr:colOff>2609850</xdr:colOff>
                <xdr:row>64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8" r:id="rId40" name="obMemberColumnFirst">
          <controlPr defaultSize="0" autoFill="0" autoLine="0" autoPict="0" macro="_xll.FPMXLClient.TechnicalCategory.ButtonActionInEPMClientFormattingSheet">
            <anchor moveWithCells="1">
              <from>
                <xdr:col>1</xdr:col>
                <xdr:colOff>209550</xdr:colOff>
                <xdr:row>64</xdr:row>
                <xdr:rowOff>57150</xdr:rowOff>
              </from>
              <to>
                <xdr:col>3</xdr:col>
                <xdr:colOff>447675</xdr:colOff>
                <xdr:row>64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9" r:id="rId41" name="cbApplyCustomMemberDefaultFirst">
          <controlPr defaultSize="0" autoFill="0" autoLine="0" autoPict="0">
            <anchor moveWithCells="1">
              <from>
                <xdr:col>2</xdr:col>
                <xdr:colOff>123825</xdr:colOff>
                <xdr:row>93</xdr:row>
                <xdr:rowOff>200025</xdr:rowOff>
              </from>
              <to>
                <xdr:col>2</xdr:col>
                <xdr:colOff>1019175</xdr:colOff>
                <xdr:row>96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0" r:id="rId42" name="cbApplyCalculatedMemberFirst">
          <controlPr defaultSize="0" autoFill="0" autoLine="0" autoPict="0">
            <anchor moveWithCells="1">
              <from>
                <xdr:col>2</xdr:col>
                <xdr:colOff>123825</xdr:colOff>
                <xdr:row>96</xdr:row>
                <xdr:rowOff>47625</xdr:rowOff>
              </from>
              <to>
                <xdr:col>2</xdr:col>
                <xdr:colOff>1019175</xdr:colOff>
                <xdr:row>99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1" r:id="rId43" name="cbApplyImputableMemberFirst">
          <controlPr defaultSize="0" autoFill="0" autoLine="0" autoPict="0">
            <anchor moveWithCells="1">
              <from>
                <xdr:col>2</xdr:col>
                <xdr:colOff>123825</xdr:colOff>
                <xdr:row>100</xdr:row>
                <xdr:rowOff>0</xdr:rowOff>
              </from>
              <to>
                <xdr:col>2</xdr:col>
                <xdr:colOff>1019175</xdr:colOff>
                <xdr:row>102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2" r:id="rId44" name="cbApplyLocalMemberFirst">
          <controlPr defaultSize="0" autoFill="0" autoLine="0" autoPict="0">
            <anchor moveWithCells="1">
              <from>
                <xdr:col>2</xdr:col>
                <xdr:colOff>123825</xdr:colOff>
                <xdr:row>103</xdr:row>
                <xdr:rowOff>0</xdr:rowOff>
              </from>
              <to>
                <xdr:col>2</xdr:col>
                <xdr:colOff>1019175</xdr:colOff>
                <xdr:row>105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3" r:id="rId45" name="cbApplyChangedMemberFirst">
          <controlPr defaultSize="0" autoFill="0" autoLine="0" autoPict="0">
            <anchor moveWithCells="1">
              <from>
                <xdr:col>2</xdr:col>
                <xdr:colOff>123825</xdr:colOff>
                <xdr:row>106</xdr:row>
                <xdr:rowOff>0</xdr:rowOff>
              </from>
              <to>
                <xdr:col>2</xdr:col>
                <xdr:colOff>1019175</xdr:colOff>
                <xdr:row>108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4" r:id="rId46" name="cbApplySpecificMemberFirst">
          <controlPr defaultSize="0" autoFill="0" autoLine="0" autoPict="0">
            <anchor moveWithCells="1">
              <from>
                <xdr:col>2</xdr:col>
                <xdr:colOff>123825</xdr:colOff>
                <xdr:row>109</xdr:row>
                <xdr:rowOff>47625</xdr:rowOff>
              </from>
              <to>
                <xdr:col>2</xdr:col>
                <xdr:colOff>1019175</xdr:colOff>
                <xdr:row>111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5" r:id="rId47" name="AddMemberFirst">
          <controlPr defaultSize="0" print="0" autoFill="0" autoPict="0" macro="_xll.FPMXLClient.TechnicalCategory.ButtonActionInEPMClientFormattingSheet">
            <anchor moveWithCells="1" sizeWithCells="1">
              <from>
                <xdr:col>3</xdr:col>
                <xdr:colOff>57150</xdr:colOff>
                <xdr:row>147</xdr:row>
                <xdr:rowOff>19050</xdr:rowOff>
              </from>
              <to>
                <xdr:col>3</xdr:col>
                <xdr:colOff>4286250</xdr:colOff>
                <xdr:row>147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6" r:id="rId48" name="cbApplyCustomMemberDefaultSecond">
          <controlPr defaultSize="0" autoFill="0" autoLine="0" autoPict="0">
            <anchor moveWithCells="1">
              <from>
                <xdr:col>2</xdr:col>
                <xdr:colOff>123825</xdr:colOff>
                <xdr:row>67</xdr:row>
                <xdr:rowOff>0</xdr:rowOff>
              </from>
              <to>
                <xdr:col>2</xdr:col>
                <xdr:colOff>1019175</xdr:colOff>
                <xdr:row>69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7" r:id="rId49" name="cbApplyCalculatedMemberSecond">
          <controlPr defaultSize="0" autoFill="0" autoLine="0" autoPict="0">
            <anchor moveWithCells="1">
              <from>
                <xdr:col>2</xdr:col>
                <xdr:colOff>123825</xdr:colOff>
                <xdr:row>69</xdr:row>
                <xdr:rowOff>47625</xdr:rowOff>
              </from>
              <to>
                <xdr:col>2</xdr:col>
                <xdr:colOff>1019175</xdr:colOff>
                <xdr:row>72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8" r:id="rId50" name="cbApplyImputableMemberSecond">
          <controlPr defaultSize="0" autoFill="0" autoLine="0" autoPict="0">
            <anchor moveWithCells="1">
              <from>
                <xdr:col>2</xdr:col>
                <xdr:colOff>123825</xdr:colOff>
                <xdr:row>73</xdr:row>
                <xdr:rowOff>0</xdr:rowOff>
              </from>
              <to>
                <xdr:col>2</xdr:col>
                <xdr:colOff>1019175</xdr:colOff>
                <xdr:row>75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9" r:id="rId51" name="cbApplyLocalMemberSecond">
          <controlPr defaultSize="0" autoFill="0" autoLine="0" autoPict="0">
            <anchor moveWithCells="1">
              <from>
                <xdr:col>2</xdr:col>
                <xdr:colOff>123825</xdr:colOff>
                <xdr:row>76</xdr:row>
                <xdr:rowOff>0</xdr:rowOff>
              </from>
              <to>
                <xdr:col>2</xdr:col>
                <xdr:colOff>1019175</xdr:colOff>
                <xdr:row>78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0" r:id="rId52" name="cbApplyChangedMemberSecond">
          <controlPr defaultSize="0" autoFill="0" autoLine="0" autoPict="0">
            <anchor moveWithCells="1">
              <from>
                <xdr:col>2</xdr:col>
                <xdr:colOff>123825</xdr:colOff>
                <xdr:row>79</xdr:row>
                <xdr:rowOff>0</xdr:rowOff>
              </from>
              <to>
                <xdr:col>2</xdr:col>
                <xdr:colOff>1019175</xdr:colOff>
                <xdr:row>81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1" r:id="rId53" name="cbApplySpecificMemberSecond">
          <controlPr defaultSize="0" autoFill="0" autoLine="0" autoPict="0">
            <anchor moveWithCells="1">
              <from>
                <xdr:col>2</xdr:col>
                <xdr:colOff>123825</xdr:colOff>
                <xdr:row>82</xdr:row>
                <xdr:rowOff>47625</xdr:rowOff>
              </from>
              <to>
                <xdr:col>2</xdr:col>
                <xdr:colOff>1019175</xdr:colOff>
                <xdr:row>84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2" r:id="rId54" name="AddMemberSecond">
          <controlPr defaultSize="0" print="0" autoFill="0" autoPict="0" macro="_xll.FPMXLClient.TechnicalCategory.ButtonActionInEPMClientFormattingSheet">
            <anchor moveWithCells="1" sizeWithCells="1">
              <from>
                <xdr:col>3</xdr:col>
                <xdr:colOff>57150</xdr:colOff>
                <xdr:row>90</xdr:row>
                <xdr:rowOff>19050</xdr:rowOff>
              </from>
              <to>
                <xdr:col>3</xdr:col>
                <xdr:colOff>4286250</xdr:colOff>
                <xdr:row>90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4" r:id="rId55" name="Ryhmän kehys 46">
          <controlPr defaultSize="0" autoPict="0">
            <anchor moveWithCells="1">
              <from>
                <xdr:col>1</xdr:col>
                <xdr:colOff>0</xdr:colOff>
                <xdr:row>152</xdr:row>
                <xdr:rowOff>0</xdr:rowOff>
              </from>
              <to>
                <xdr:col>12</xdr:col>
                <xdr:colOff>0</xdr:colOff>
                <xdr:row>153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5" r:id="rId56" name="obOddEvenRowFirst">
          <controlPr defaultSize="0" autoFill="0" autoLine="0" autoPict="0" macro="_xll.FPMXLClient.TechnicalCategory.ButtonActionInEPMClientFormattingSheet">
            <anchor moveWithCells="1">
              <from>
                <xdr:col>3</xdr:col>
                <xdr:colOff>485775</xdr:colOff>
                <xdr:row>152</xdr:row>
                <xdr:rowOff>66675</xdr:rowOff>
              </from>
              <to>
                <xdr:col>3</xdr:col>
                <xdr:colOff>2609850</xdr:colOff>
                <xdr:row>152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6" r:id="rId57" name="obOddEvenColumnFirst">
          <controlPr defaultSize="0" autoFill="0" autoLine="0" autoPict="0" macro="_xll.FPMXLClient.TechnicalCategory.ButtonActionInEPMClientFormattingSheet">
            <anchor moveWithCells="1">
              <from>
                <xdr:col>1</xdr:col>
                <xdr:colOff>209550</xdr:colOff>
                <xdr:row>152</xdr:row>
                <xdr:rowOff>66675</xdr:rowOff>
              </from>
              <to>
                <xdr:col>3</xdr:col>
                <xdr:colOff>447675</xdr:colOff>
                <xdr:row>152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7" r:id="rId58" name="cbUseOddFirst">
          <controlPr defaultSize="0" autoFill="0" autoLine="0" autoPict="0">
            <anchor moveWithCells="1">
              <from>
                <xdr:col>2</xdr:col>
                <xdr:colOff>123825</xdr:colOff>
                <xdr:row>155</xdr:row>
                <xdr:rowOff>0</xdr:rowOff>
              </from>
              <to>
                <xdr:col>2</xdr:col>
                <xdr:colOff>1019175</xdr:colOff>
                <xdr:row>157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8" r:id="rId59" name="cbUseEvenFirst">
          <controlPr defaultSize="0" autoFill="0" autoLine="0" autoPict="0">
            <anchor moveWithCells="1">
              <from>
                <xdr:col>2</xdr:col>
                <xdr:colOff>123825</xdr:colOff>
                <xdr:row>158</xdr:row>
                <xdr:rowOff>0</xdr:rowOff>
              </from>
              <to>
                <xdr:col>2</xdr:col>
                <xdr:colOff>1019175</xdr:colOff>
                <xdr:row>160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9" r:id="rId60" name="cbUseOddSecond">
          <controlPr defaultSize="0" autoFill="0" autoLine="0" autoPict="0">
            <anchor moveWithCells="1">
              <from>
                <xdr:col>2</xdr:col>
                <xdr:colOff>123825</xdr:colOff>
                <xdr:row>163</xdr:row>
                <xdr:rowOff>0</xdr:rowOff>
              </from>
              <to>
                <xdr:col>2</xdr:col>
                <xdr:colOff>1019175</xdr:colOff>
                <xdr:row>165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00" r:id="rId61" name="cbUseEvenSecond">
          <controlPr defaultSize="0" autoFill="0" autoLine="0" autoPict="0">
            <anchor moveWithCells="1">
              <from>
                <xdr:col>2</xdr:col>
                <xdr:colOff>123825</xdr:colOff>
                <xdr:row>165</xdr:row>
                <xdr:rowOff>47625</xdr:rowOff>
              </from>
              <to>
                <xdr:col>2</xdr:col>
                <xdr:colOff>1019175</xdr:colOff>
                <xdr:row>168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02" r:id="rId62" name="cbUseDefaultPageHeaderFormat">
          <controlPr defaultSize="0" autoFill="0" autoLine="0" autoPict="0">
            <anchor moveWithCells="1">
              <from>
                <xdr:col>2</xdr:col>
                <xdr:colOff>123825</xdr:colOff>
                <xdr:row>173</xdr:row>
                <xdr:rowOff>200025</xdr:rowOff>
              </from>
              <to>
                <xdr:col>2</xdr:col>
                <xdr:colOff>1019175</xdr:colOff>
                <xdr:row>176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03" r:id="rId63" name="cbUseDimensionFormatting">
          <controlPr defaultSize="0" autoFill="0" autoLine="0" autoPict="0">
            <anchor moveWithCells="1">
              <from>
                <xdr:col>2</xdr:col>
                <xdr:colOff>123825</xdr:colOff>
                <xdr:row>177</xdr:row>
                <xdr:rowOff>0</xdr:rowOff>
              </from>
              <to>
                <xdr:col>2</xdr:col>
                <xdr:colOff>1019175</xdr:colOff>
                <xdr:row>178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04" r:id="rId64" name="AddDimension">
          <controlPr defaultSize="0" print="0" autoFill="0" autoPict="0" macro="_xll.FPMXLClient.TechnicalCategory.ButtonActionInEPMClientFormattingSheet">
            <anchor moveWithCells="1" sizeWithCells="1">
              <from>
                <xdr:col>3</xdr:col>
                <xdr:colOff>57150</xdr:colOff>
                <xdr:row>179</xdr:row>
                <xdr:rowOff>19050</xdr:rowOff>
              </from>
              <to>
                <xdr:col>3</xdr:col>
                <xdr:colOff>4286250</xdr:colOff>
                <xdr:row>180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9" r:id="rId65" name="AddedMember2_1">
          <controlPr defaultSize="0" print="0" autoFill="0" autoPict="0" macro="_xll.FPMXLClient.TechnicalCategory.ButtonActionInEPMClientFormattingSheet">
            <anchor moveWithCells="1" sizeWithCells="1">
              <from>
                <xdr:col>12</xdr:col>
                <xdr:colOff>0</xdr:colOff>
                <xdr:row>84</xdr:row>
                <xdr:rowOff>47625</xdr:rowOff>
              </from>
              <to>
                <xdr:col>12</xdr:col>
                <xdr:colOff>685800</xdr:colOff>
                <xdr:row>86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60" r:id="rId66" name="ChangeMember2_1">
          <controlPr defaultSize="0" print="0" autoFill="0" autoPict="0" macro="_xll.FPMXLClient.TechnicalCategory.ButtonActionInEPMClientFormattingSheet">
            <anchor moveWithCells="1" sizeWithCells="1">
              <from>
                <xdr:col>12</xdr:col>
                <xdr:colOff>704850</xdr:colOff>
                <xdr:row>84</xdr:row>
                <xdr:rowOff>47625</xdr:rowOff>
              </from>
              <to>
                <xdr:col>13</xdr:col>
                <xdr:colOff>676275</xdr:colOff>
                <xdr:row>86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61" r:id="rId67" name="UpMember2_1">
          <controlPr defaultSize="0" print="0" autoFill="0" autoPict="0" macro="_xll.FPMXLClient.TechnicalCategory.ButtonActionInEPMClientFormattingSheet">
            <anchor moveWithCells="1" sizeWithCells="1">
              <from>
                <xdr:col>14</xdr:col>
                <xdr:colOff>0</xdr:colOff>
                <xdr:row>84</xdr:row>
                <xdr:rowOff>47625</xdr:rowOff>
              </from>
              <to>
                <xdr:col>14</xdr:col>
                <xdr:colOff>685800</xdr:colOff>
                <xdr:row>86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62" r:id="rId68" name="DownMember2_1">
          <controlPr defaultSize="0" print="0" autoFill="0" autoPict="0" macro="_xll.FPMXLClient.TechnicalCategory.ButtonActionInEPMClientFormattingSheet">
            <anchor moveWithCells="1" sizeWithCells="1">
              <from>
                <xdr:col>15</xdr:col>
                <xdr:colOff>0</xdr:colOff>
                <xdr:row>84</xdr:row>
                <xdr:rowOff>47625</xdr:rowOff>
              </from>
              <to>
                <xdr:col>15</xdr:col>
                <xdr:colOff>685800</xdr:colOff>
                <xdr:row>86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69" r:id="rId69" name="AddedMember2_2">
          <controlPr defaultSize="0" print="0" autoFill="0" autoPict="0" macro="_xll.FPMXLClient.TechnicalCategory.ButtonActionInEPMClientFormattingSheet">
            <anchor moveWithCells="1" sizeWithCells="1">
              <from>
                <xdr:col>12</xdr:col>
                <xdr:colOff>0</xdr:colOff>
                <xdr:row>88</xdr:row>
                <xdr:rowOff>0</xdr:rowOff>
              </from>
              <to>
                <xdr:col>12</xdr:col>
                <xdr:colOff>685800</xdr:colOff>
                <xdr:row>89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0" r:id="rId70" name="ChangeMember2_2">
          <controlPr defaultSize="0" print="0" autoFill="0" autoPict="0" macro="_xll.FPMXLClient.TechnicalCategory.ButtonActionInEPMClientFormattingSheet">
            <anchor moveWithCells="1" sizeWithCells="1">
              <from>
                <xdr:col>12</xdr:col>
                <xdr:colOff>704850</xdr:colOff>
                <xdr:row>88</xdr:row>
                <xdr:rowOff>0</xdr:rowOff>
              </from>
              <to>
                <xdr:col>13</xdr:col>
                <xdr:colOff>676275</xdr:colOff>
                <xdr:row>89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1" r:id="rId71" name="UpMember2_2">
          <controlPr defaultSize="0" print="0" autoFill="0" autoPict="0" macro="_xll.FPMXLClient.TechnicalCategory.ButtonActionInEPMClientFormattingSheet">
            <anchor moveWithCells="1" sizeWithCells="1">
              <from>
                <xdr:col>14</xdr:col>
                <xdr:colOff>0</xdr:colOff>
                <xdr:row>88</xdr:row>
                <xdr:rowOff>0</xdr:rowOff>
              </from>
              <to>
                <xdr:col>14</xdr:col>
                <xdr:colOff>685800</xdr:colOff>
                <xdr:row>89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2" r:id="rId72" name="DownMember2_2">
          <controlPr defaultSize="0" print="0" autoFill="0" autoPict="0" macro="_xll.FPMXLClient.TechnicalCategory.ButtonActionInEPMClientFormattingSheet">
            <anchor moveWithCells="1" sizeWithCells="1">
              <from>
                <xdr:col>15</xdr:col>
                <xdr:colOff>0</xdr:colOff>
                <xdr:row>88</xdr:row>
                <xdr:rowOff>0</xdr:rowOff>
              </from>
              <to>
                <xdr:col>15</xdr:col>
                <xdr:colOff>685800</xdr:colOff>
                <xdr:row>89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41" r:id="rId73" name="AddedMember1_1">
          <controlPr defaultSize="0" print="0" autoFill="0" autoPict="0" macro="_xll.FPMXLClient.TechnicalCategory.ButtonActionInEPMClientFormattingSheet">
            <anchor moveWithCells="1" sizeWithCells="1">
              <from>
                <xdr:col>12</xdr:col>
                <xdr:colOff>0</xdr:colOff>
                <xdr:row>112</xdr:row>
                <xdr:rowOff>0</xdr:rowOff>
              </from>
              <to>
                <xdr:col>12</xdr:col>
                <xdr:colOff>685800</xdr:colOff>
                <xdr:row>113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42" r:id="rId74" name="ChangeMember1_1">
          <controlPr defaultSize="0" print="0" autoFill="0" autoPict="0" macro="_xll.FPMXLClient.TechnicalCategory.ButtonActionInEPMClientFormattingSheet">
            <anchor moveWithCells="1" sizeWithCells="1">
              <from>
                <xdr:col>12</xdr:col>
                <xdr:colOff>704850</xdr:colOff>
                <xdr:row>112</xdr:row>
                <xdr:rowOff>0</xdr:rowOff>
              </from>
              <to>
                <xdr:col>13</xdr:col>
                <xdr:colOff>676275</xdr:colOff>
                <xdr:row>113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43" r:id="rId75" name="UpMember1_1">
          <controlPr defaultSize="0" print="0" autoFill="0" autoPict="0" macro="_xll.FPMXLClient.TechnicalCategory.ButtonActionInEPMClientFormattingSheet">
            <anchor moveWithCells="1" sizeWithCells="1">
              <from>
                <xdr:col>14</xdr:col>
                <xdr:colOff>0</xdr:colOff>
                <xdr:row>112</xdr:row>
                <xdr:rowOff>0</xdr:rowOff>
              </from>
              <to>
                <xdr:col>14</xdr:col>
                <xdr:colOff>685800</xdr:colOff>
                <xdr:row>113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44" r:id="rId76" name="DownMember1_1">
          <controlPr defaultSize="0" print="0" autoFill="0" autoPict="0" macro="_xll.FPMXLClient.TechnicalCategory.ButtonActionInEPMClientFormattingSheet">
            <anchor moveWithCells="1" sizeWithCells="1">
              <from>
                <xdr:col>15</xdr:col>
                <xdr:colOff>0</xdr:colOff>
                <xdr:row>112</xdr:row>
                <xdr:rowOff>0</xdr:rowOff>
              </from>
              <to>
                <xdr:col>15</xdr:col>
                <xdr:colOff>685800</xdr:colOff>
                <xdr:row>113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51" r:id="rId77" name="AddedMember1_2">
          <controlPr defaultSize="0" print="0" autoFill="0" autoPict="0" macro="_xll.FPMXLClient.TechnicalCategory.ButtonActionInEPMClientFormattingSheet">
            <anchor moveWithCells="1" sizeWithCells="1">
              <from>
                <xdr:col>12</xdr:col>
                <xdr:colOff>0</xdr:colOff>
                <xdr:row>114</xdr:row>
                <xdr:rowOff>47625</xdr:rowOff>
              </from>
              <to>
                <xdr:col>12</xdr:col>
                <xdr:colOff>685800</xdr:colOff>
                <xdr:row>116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52" r:id="rId78" name="ChangeMember1_2">
          <controlPr defaultSize="0" print="0" autoFill="0" autoPict="0" macro="_xll.FPMXLClient.TechnicalCategory.ButtonActionInEPMClientFormattingSheet">
            <anchor moveWithCells="1" sizeWithCells="1">
              <from>
                <xdr:col>12</xdr:col>
                <xdr:colOff>704850</xdr:colOff>
                <xdr:row>114</xdr:row>
                <xdr:rowOff>47625</xdr:rowOff>
              </from>
              <to>
                <xdr:col>13</xdr:col>
                <xdr:colOff>676275</xdr:colOff>
                <xdr:row>116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53" r:id="rId79" name="UpMember1_2">
          <controlPr defaultSize="0" print="0" autoFill="0" autoPict="0" macro="_xll.FPMXLClient.TechnicalCategory.ButtonActionInEPMClientFormattingSheet">
            <anchor moveWithCells="1" sizeWithCells="1">
              <from>
                <xdr:col>14</xdr:col>
                <xdr:colOff>0</xdr:colOff>
                <xdr:row>114</xdr:row>
                <xdr:rowOff>47625</xdr:rowOff>
              </from>
              <to>
                <xdr:col>14</xdr:col>
                <xdr:colOff>685800</xdr:colOff>
                <xdr:row>116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54" r:id="rId80" name="DownMember1_2">
          <controlPr defaultSize="0" print="0" autoFill="0" autoPict="0" macro="_xll.FPMXLClient.TechnicalCategory.ButtonActionInEPMClientFormattingSheet">
            <anchor moveWithCells="1" sizeWithCells="1">
              <from>
                <xdr:col>15</xdr:col>
                <xdr:colOff>0</xdr:colOff>
                <xdr:row>114</xdr:row>
                <xdr:rowOff>47625</xdr:rowOff>
              </from>
              <to>
                <xdr:col>15</xdr:col>
                <xdr:colOff>685800</xdr:colOff>
                <xdr:row>116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66" r:id="rId81" name="AddedMember1_3">
          <controlPr defaultSize="0" print="0" autoFill="0" autoPict="0" macro="_xll.FPMXLClient.TechnicalCategory.ButtonActionInEPMClientFormattingSheet">
            <anchor moveWithCells="1" sizeWithCells="1">
              <from>
                <xdr:col>12</xdr:col>
                <xdr:colOff>0</xdr:colOff>
                <xdr:row>117</xdr:row>
                <xdr:rowOff>47625</xdr:rowOff>
              </from>
              <to>
                <xdr:col>12</xdr:col>
                <xdr:colOff>685800</xdr:colOff>
                <xdr:row>118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67" r:id="rId82" name="ChangeMember1_3">
          <controlPr defaultSize="0" print="0" autoFill="0" autoPict="0" macro="_xll.FPMXLClient.TechnicalCategory.ButtonActionInEPMClientFormattingSheet">
            <anchor moveWithCells="1" sizeWithCells="1">
              <from>
                <xdr:col>12</xdr:col>
                <xdr:colOff>704850</xdr:colOff>
                <xdr:row>117</xdr:row>
                <xdr:rowOff>47625</xdr:rowOff>
              </from>
              <to>
                <xdr:col>13</xdr:col>
                <xdr:colOff>676275</xdr:colOff>
                <xdr:row>118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68" r:id="rId83" name="UpMember1_3">
          <controlPr defaultSize="0" print="0" autoFill="0" autoPict="0" macro="_xll.FPMXLClient.TechnicalCategory.ButtonActionInEPMClientFormattingSheet">
            <anchor moveWithCells="1" sizeWithCells="1">
              <from>
                <xdr:col>14</xdr:col>
                <xdr:colOff>0</xdr:colOff>
                <xdr:row>117</xdr:row>
                <xdr:rowOff>47625</xdr:rowOff>
              </from>
              <to>
                <xdr:col>14</xdr:col>
                <xdr:colOff>685800</xdr:colOff>
                <xdr:row>118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69" r:id="rId84" name="DownMember1_3">
          <controlPr defaultSize="0" print="0" autoFill="0" autoPict="0" macro="_xll.FPMXLClient.TechnicalCategory.ButtonActionInEPMClientFormattingSheet">
            <anchor moveWithCells="1" sizeWithCells="1">
              <from>
                <xdr:col>15</xdr:col>
                <xdr:colOff>0</xdr:colOff>
                <xdr:row>117</xdr:row>
                <xdr:rowOff>47625</xdr:rowOff>
              </from>
              <to>
                <xdr:col>15</xdr:col>
                <xdr:colOff>685800</xdr:colOff>
                <xdr:row>118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71" r:id="rId85" name="AddedMember1_4">
          <controlPr defaultSize="0" print="0" autoFill="0" autoPict="0" macro="_xll.FPMXLClient.TechnicalCategory.ButtonActionInEPMClientFormattingSheet">
            <anchor moveWithCells="1" sizeWithCells="1">
              <from>
                <xdr:col>12</xdr:col>
                <xdr:colOff>0</xdr:colOff>
                <xdr:row>120</xdr:row>
                <xdr:rowOff>47625</xdr:rowOff>
              </from>
              <to>
                <xdr:col>12</xdr:col>
                <xdr:colOff>685800</xdr:colOff>
                <xdr:row>122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72" r:id="rId86" name="ChangeMember1_4">
          <controlPr defaultSize="0" print="0" autoFill="0" autoPict="0" macro="_xll.FPMXLClient.TechnicalCategory.ButtonActionInEPMClientFormattingSheet">
            <anchor moveWithCells="1" sizeWithCells="1">
              <from>
                <xdr:col>12</xdr:col>
                <xdr:colOff>704850</xdr:colOff>
                <xdr:row>120</xdr:row>
                <xdr:rowOff>47625</xdr:rowOff>
              </from>
              <to>
                <xdr:col>13</xdr:col>
                <xdr:colOff>676275</xdr:colOff>
                <xdr:row>122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73" r:id="rId87" name="UpMember1_4">
          <controlPr defaultSize="0" print="0" autoFill="0" autoPict="0" macro="_xll.FPMXLClient.TechnicalCategory.ButtonActionInEPMClientFormattingSheet">
            <anchor moveWithCells="1" sizeWithCells="1">
              <from>
                <xdr:col>14</xdr:col>
                <xdr:colOff>0</xdr:colOff>
                <xdr:row>120</xdr:row>
                <xdr:rowOff>47625</xdr:rowOff>
              </from>
              <to>
                <xdr:col>14</xdr:col>
                <xdr:colOff>685800</xdr:colOff>
                <xdr:row>122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74" r:id="rId88" name="DownMember1_4">
          <controlPr defaultSize="0" print="0" autoFill="0" autoPict="0" macro="_xll.FPMXLClient.TechnicalCategory.ButtonActionInEPMClientFormattingSheet">
            <anchor moveWithCells="1" sizeWithCells="1">
              <from>
                <xdr:col>15</xdr:col>
                <xdr:colOff>0</xdr:colOff>
                <xdr:row>120</xdr:row>
                <xdr:rowOff>47625</xdr:rowOff>
              </from>
              <to>
                <xdr:col>15</xdr:col>
                <xdr:colOff>685800</xdr:colOff>
                <xdr:row>122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81" r:id="rId89" name="AddedMember1_5">
          <controlPr defaultSize="0" print="0" autoFill="0" autoPict="0" macro="_xll.FPMXLClient.TechnicalCategory.ButtonActionInEPMClientFormattingSheet">
            <anchor moveWithCells="1" sizeWithCells="1">
              <from>
                <xdr:col>12</xdr:col>
                <xdr:colOff>0</xdr:colOff>
                <xdr:row>123</xdr:row>
                <xdr:rowOff>47625</xdr:rowOff>
              </from>
              <to>
                <xdr:col>12</xdr:col>
                <xdr:colOff>685800</xdr:colOff>
                <xdr:row>124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82" r:id="rId90" name="ChangeMember1_5">
          <controlPr defaultSize="0" print="0" autoFill="0" autoPict="0" macro="_xll.FPMXLClient.TechnicalCategory.ButtonActionInEPMClientFormattingSheet">
            <anchor moveWithCells="1" sizeWithCells="1">
              <from>
                <xdr:col>12</xdr:col>
                <xdr:colOff>704850</xdr:colOff>
                <xdr:row>123</xdr:row>
                <xdr:rowOff>47625</xdr:rowOff>
              </from>
              <to>
                <xdr:col>13</xdr:col>
                <xdr:colOff>676275</xdr:colOff>
                <xdr:row>124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83" r:id="rId91" name="UpMember1_5">
          <controlPr defaultSize="0" print="0" autoFill="0" autoPict="0" macro="_xll.FPMXLClient.TechnicalCategory.ButtonActionInEPMClientFormattingSheet">
            <anchor moveWithCells="1" sizeWithCells="1">
              <from>
                <xdr:col>14</xdr:col>
                <xdr:colOff>0</xdr:colOff>
                <xdr:row>123</xdr:row>
                <xdr:rowOff>47625</xdr:rowOff>
              </from>
              <to>
                <xdr:col>14</xdr:col>
                <xdr:colOff>685800</xdr:colOff>
                <xdr:row>124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84" r:id="rId92" name="DownMember1_5">
          <controlPr defaultSize="0" print="0" autoFill="0" autoPict="0" macro="_xll.FPMXLClient.TechnicalCategory.ButtonActionInEPMClientFormattingSheet">
            <anchor moveWithCells="1" sizeWithCells="1">
              <from>
                <xdr:col>15</xdr:col>
                <xdr:colOff>0</xdr:colOff>
                <xdr:row>123</xdr:row>
                <xdr:rowOff>47625</xdr:rowOff>
              </from>
              <to>
                <xdr:col>15</xdr:col>
                <xdr:colOff>685800</xdr:colOff>
                <xdr:row>124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86" r:id="rId93" name="AddedMember1_6">
          <controlPr defaultSize="0" print="0" autoFill="0" autoPict="0" macro="_xll.FPMXLClient.TechnicalCategory.ButtonActionInEPMClientFormattingSheet">
            <anchor moveWithCells="1" sizeWithCells="1">
              <from>
                <xdr:col>12</xdr:col>
                <xdr:colOff>0</xdr:colOff>
                <xdr:row>126</xdr:row>
                <xdr:rowOff>47625</xdr:rowOff>
              </from>
              <to>
                <xdr:col>12</xdr:col>
                <xdr:colOff>685800</xdr:colOff>
                <xdr:row>128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87" r:id="rId94" name="ChangeMember1_6">
          <controlPr defaultSize="0" print="0" autoFill="0" autoPict="0" macro="_xll.FPMXLClient.TechnicalCategory.ButtonActionInEPMClientFormattingSheet">
            <anchor moveWithCells="1" sizeWithCells="1">
              <from>
                <xdr:col>12</xdr:col>
                <xdr:colOff>704850</xdr:colOff>
                <xdr:row>126</xdr:row>
                <xdr:rowOff>47625</xdr:rowOff>
              </from>
              <to>
                <xdr:col>13</xdr:col>
                <xdr:colOff>676275</xdr:colOff>
                <xdr:row>128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88" r:id="rId95" name="UpMember1_6">
          <controlPr defaultSize="0" print="0" autoFill="0" autoPict="0" macro="_xll.FPMXLClient.TechnicalCategory.ButtonActionInEPMClientFormattingSheet">
            <anchor moveWithCells="1" sizeWithCells="1">
              <from>
                <xdr:col>14</xdr:col>
                <xdr:colOff>0</xdr:colOff>
                <xdr:row>126</xdr:row>
                <xdr:rowOff>47625</xdr:rowOff>
              </from>
              <to>
                <xdr:col>14</xdr:col>
                <xdr:colOff>685800</xdr:colOff>
                <xdr:row>128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89" r:id="rId96" name="DownMember1_6">
          <controlPr defaultSize="0" print="0" autoFill="0" autoPict="0" macro="_xll.FPMXLClient.TechnicalCategory.ButtonActionInEPMClientFormattingSheet">
            <anchor moveWithCells="1" sizeWithCells="1">
              <from>
                <xdr:col>15</xdr:col>
                <xdr:colOff>0</xdr:colOff>
                <xdr:row>126</xdr:row>
                <xdr:rowOff>47625</xdr:rowOff>
              </from>
              <to>
                <xdr:col>15</xdr:col>
                <xdr:colOff>685800</xdr:colOff>
                <xdr:row>128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91" r:id="rId97" name="AddedMember1_7">
          <controlPr defaultSize="0" print="0" autoFill="0" autoPict="0" macro="_xll.FPMXLClient.TechnicalCategory.ButtonActionInEPMClientFormattingSheet">
            <anchor moveWithCells="1" sizeWithCells="1">
              <from>
                <xdr:col>12</xdr:col>
                <xdr:colOff>0</xdr:colOff>
                <xdr:row>130</xdr:row>
                <xdr:rowOff>0</xdr:rowOff>
              </from>
              <to>
                <xdr:col>12</xdr:col>
                <xdr:colOff>685800</xdr:colOff>
                <xdr:row>131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92" r:id="rId98" name="ChangeMember1_7">
          <controlPr defaultSize="0" print="0" autoFill="0" autoPict="0" macro="_xll.FPMXLClient.TechnicalCategory.ButtonActionInEPMClientFormattingSheet">
            <anchor moveWithCells="1" sizeWithCells="1">
              <from>
                <xdr:col>12</xdr:col>
                <xdr:colOff>704850</xdr:colOff>
                <xdr:row>130</xdr:row>
                <xdr:rowOff>0</xdr:rowOff>
              </from>
              <to>
                <xdr:col>13</xdr:col>
                <xdr:colOff>676275</xdr:colOff>
                <xdr:row>131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93" r:id="rId99" name="UpMember1_7">
          <controlPr defaultSize="0" print="0" autoFill="0" autoPict="0" macro="_xll.FPMXLClient.TechnicalCategory.ButtonActionInEPMClientFormattingSheet">
            <anchor moveWithCells="1" sizeWithCells="1">
              <from>
                <xdr:col>14</xdr:col>
                <xdr:colOff>0</xdr:colOff>
                <xdr:row>130</xdr:row>
                <xdr:rowOff>0</xdr:rowOff>
              </from>
              <to>
                <xdr:col>14</xdr:col>
                <xdr:colOff>685800</xdr:colOff>
                <xdr:row>131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94" r:id="rId100" name="DownMember1_7">
          <controlPr defaultSize="0" print="0" autoFill="0" autoPict="0" macro="_xll.FPMXLClient.TechnicalCategory.ButtonActionInEPMClientFormattingSheet">
            <anchor moveWithCells="1" sizeWithCells="1">
              <from>
                <xdr:col>15</xdr:col>
                <xdr:colOff>0</xdr:colOff>
                <xdr:row>130</xdr:row>
                <xdr:rowOff>0</xdr:rowOff>
              </from>
              <to>
                <xdr:col>15</xdr:col>
                <xdr:colOff>685800</xdr:colOff>
                <xdr:row>131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96" r:id="rId101" name="AddedMember1_8">
          <controlPr defaultSize="0" print="0" autoFill="0" autoPict="0" macro="_xll.FPMXLClient.TechnicalCategory.ButtonActionInEPMClientFormattingSheet">
            <anchor moveWithCells="1" sizeWithCells="1">
              <from>
                <xdr:col>12</xdr:col>
                <xdr:colOff>0</xdr:colOff>
                <xdr:row>133</xdr:row>
                <xdr:rowOff>0</xdr:rowOff>
              </from>
              <to>
                <xdr:col>12</xdr:col>
                <xdr:colOff>685800</xdr:colOff>
                <xdr:row>134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97" r:id="rId102" name="ChangeMember1_8">
          <controlPr defaultSize="0" print="0" autoFill="0" autoPict="0" macro="_xll.FPMXLClient.TechnicalCategory.ButtonActionInEPMClientFormattingSheet">
            <anchor moveWithCells="1" sizeWithCells="1">
              <from>
                <xdr:col>12</xdr:col>
                <xdr:colOff>704850</xdr:colOff>
                <xdr:row>133</xdr:row>
                <xdr:rowOff>0</xdr:rowOff>
              </from>
              <to>
                <xdr:col>13</xdr:col>
                <xdr:colOff>676275</xdr:colOff>
                <xdr:row>134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98" r:id="rId103" name="UpMember1_8">
          <controlPr defaultSize="0" print="0" autoFill="0" autoPict="0" macro="_xll.FPMXLClient.TechnicalCategory.ButtonActionInEPMClientFormattingSheet">
            <anchor moveWithCells="1" sizeWithCells="1">
              <from>
                <xdr:col>14</xdr:col>
                <xdr:colOff>0</xdr:colOff>
                <xdr:row>133</xdr:row>
                <xdr:rowOff>0</xdr:rowOff>
              </from>
              <to>
                <xdr:col>14</xdr:col>
                <xdr:colOff>685800</xdr:colOff>
                <xdr:row>134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99" r:id="rId104" name="DownMember1_8">
          <controlPr defaultSize="0" print="0" autoFill="0" autoPict="0" macro="_xll.FPMXLClient.TechnicalCategory.ButtonActionInEPMClientFormattingSheet">
            <anchor moveWithCells="1" sizeWithCells="1">
              <from>
                <xdr:col>15</xdr:col>
                <xdr:colOff>0</xdr:colOff>
                <xdr:row>133</xdr:row>
                <xdr:rowOff>0</xdr:rowOff>
              </from>
              <to>
                <xdr:col>15</xdr:col>
                <xdr:colOff>685800</xdr:colOff>
                <xdr:row>134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01" r:id="rId105" name="AddedMember1_9">
          <controlPr defaultSize="0" print="0" autoFill="0" autoPict="0" macro="_xll.FPMXLClient.TechnicalCategory.ButtonActionInEPMClientFormattingSheet">
            <anchor moveWithCells="1" sizeWithCells="1">
              <from>
                <xdr:col>12</xdr:col>
                <xdr:colOff>0</xdr:colOff>
                <xdr:row>136</xdr:row>
                <xdr:rowOff>0</xdr:rowOff>
              </from>
              <to>
                <xdr:col>12</xdr:col>
                <xdr:colOff>685800</xdr:colOff>
                <xdr:row>137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02" r:id="rId106" name="ChangeMember1_9">
          <controlPr defaultSize="0" print="0" autoFill="0" autoPict="0" macro="_xll.FPMXLClient.TechnicalCategory.ButtonActionInEPMClientFormattingSheet">
            <anchor moveWithCells="1" sizeWithCells="1">
              <from>
                <xdr:col>12</xdr:col>
                <xdr:colOff>704850</xdr:colOff>
                <xdr:row>136</xdr:row>
                <xdr:rowOff>0</xdr:rowOff>
              </from>
              <to>
                <xdr:col>13</xdr:col>
                <xdr:colOff>676275</xdr:colOff>
                <xdr:row>137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03" r:id="rId107" name="UpMember1_9">
          <controlPr defaultSize="0" print="0" autoFill="0" autoPict="0" macro="_xll.FPMXLClient.TechnicalCategory.ButtonActionInEPMClientFormattingSheet">
            <anchor moveWithCells="1" sizeWithCells="1">
              <from>
                <xdr:col>14</xdr:col>
                <xdr:colOff>0</xdr:colOff>
                <xdr:row>136</xdr:row>
                <xdr:rowOff>0</xdr:rowOff>
              </from>
              <to>
                <xdr:col>14</xdr:col>
                <xdr:colOff>685800</xdr:colOff>
                <xdr:row>137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04" r:id="rId108" name="DownMember1_9">
          <controlPr defaultSize="0" print="0" autoFill="0" autoPict="0" macro="_xll.FPMXLClient.TechnicalCategory.ButtonActionInEPMClientFormattingSheet">
            <anchor moveWithCells="1" sizeWithCells="1">
              <from>
                <xdr:col>15</xdr:col>
                <xdr:colOff>0</xdr:colOff>
                <xdr:row>136</xdr:row>
                <xdr:rowOff>0</xdr:rowOff>
              </from>
              <to>
                <xdr:col>15</xdr:col>
                <xdr:colOff>685800</xdr:colOff>
                <xdr:row>137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06" r:id="rId109" name="AddedMember1_10">
          <controlPr defaultSize="0" print="0" autoFill="0" autoPict="0" macro="_xll.FPMXLClient.TechnicalCategory.ButtonActionInEPMClientFormattingSheet">
            <anchor moveWithCells="1" sizeWithCells="1">
              <from>
                <xdr:col>12</xdr:col>
                <xdr:colOff>0</xdr:colOff>
                <xdr:row>138</xdr:row>
                <xdr:rowOff>47625</xdr:rowOff>
              </from>
              <to>
                <xdr:col>12</xdr:col>
                <xdr:colOff>685800</xdr:colOff>
                <xdr:row>140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07" r:id="rId110" name="ChangeMember1_10">
          <controlPr defaultSize="0" print="0" autoFill="0" autoPict="0" macro="_xll.FPMXLClient.TechnicalCategory.ButtonActionInEPMClientFormattingSheet">
            <anchor moveWithCells="1" sizeWithCells="1">
              <from>
                <xdr:col>12</xdr:col>
                <xdr:colOff>704850</xdr:colOff>
                <xdr:row>138</xdr:row>
                <xdr:rowOff>47625</xdr:rowOff>
              </from>
              <to>
                <xdr:col>13</xdr:col>
                <xdr:colOff>676275</xdr:colOff>
                <xdr:row>140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08" r:id="rId111" name="UpMember1_10">
          <controlPr defaultSize="0" print="0" autoFill="0" autoPict="0" macro="_xll.FPMXLClient.TechnicalCategory.ButtonActionInEPMClientFormattingSheet">
            <anchor moveWithCells="1" sizeWithCells="1">
              <from>
                <xdr:col>14</xdr:col>
                <xdr:colOff>0</xdr:colOff>
                <xdr:row>138</xdr:row>
                <xdr:rowOff>47625</xdr:rowOff>
              </from>
              <to>
                <xdr:col>14</xdr:col>
                <xdr:colOff>685800</xdr:colOff>
                <xdr:row>140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09" r:id="rId112" name="DownMember1_10">
          <controlPr defaultSize="0" print="0" autoFill="0" autoPict="0" macro="_xll.FPMXLClient.TechnicalCategory.ButtonActionInEPMClientFormattingSheet">
            <anchor moveWithCells="1" sizeWithCells="1">
              <from>
                <xdr:col>15</xdr:col>
                <xdr:colOff>0</xdr:colOff>
                <xdr:row>138</xdr:row>
                <xdr:rowOff>47625</xdr:rowOff>
              </from>
              <to>
                <xdr:col>15</xdr:col>
                <xdr:colOff>685800</xdr:colOff>
                <xdr:row>140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11" r:id="rId113" name="AddedMember1_11">
          <controlPr defaultSize="0" print="0" autoFill="0" autoPict="0" macro="_xll.FPMXLClient.TechnicalCategory.ButtonActionInEPMClientFormattingSheet">
            <anchor moveWithCells="1" sizeWithCells="1">
              <from>
                <xdr:col>12</xdr:col>
                <xdr:colOff>0</xdr:colOff>
                <xdr:row>142</xdr:row>
                <xdr:rowOff>0</xdr:rowOff>
              </from>
              <to>
                <xdr:col>12</xdr:col>
                <xdr:colOff>685800</xdr:colOff>
                <xdr:row>143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12" r:id="rId114" name="ChangeMember1_11">
          <controlPr defaultSize="0" print="0" autoFill="0" autoPict="0" macro="_xll.FPMXLClient.TechnicalCategory.ButtonActionInEPMClientFormattingSheet">
            <anchor moveWithCells="1" sizeWithCells="1">
              <from>
                <xdr:col>12</xdr:col>
                <xdr:colOff>704850</xdr:colOff>
                <xdr:row>142</xdr:row>
                <xdr:rowOff>0</xdr:rowOff>
              </from>
              <to>
                <xdr:col>13</xdr:col>
                <xdr:colOff>676275</xdr:colOff>
                <xdr:row>143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13" r:id="rId115" name="UpMember1_11">
          <controlPr defaultSize="0" print="0" autoFill="0" autoPict="0" macro="_xll.FPMXLClient.TechnicalCategory.ButtonActionInEPMClientFormattingSheet">
            <anchor moveWithCells="1" sizeWithCells="1">
              <from>
                <xdr:col>14</xdr:col>
                <xdr:colOff>0</xdr:colOff>
                <xdr:row>142</xdr:row>
                <xdr:rowOff>0</xdr:rowOff>
              </from>
              <to>
                <xdr:col>14</xdr:col>
                <xdr:colOff>685800</xdr:colOff>
                <xdr:row>143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14" r:id="rId116" name="DownMember1_11">
          <controlPr defaultSize="0" print="0" autoFill="0" autoPict="0" macro="_xll.FPMXLClient.TechnicalCategory.ButtonActionInEPMClientFormattingSheet">
            <anchor moveWithCells="1" sizeWithCells="1">
              <from>
                <xdr:col>15</xdr:col>
                <xdr:colOff>0</xdr:colOff>
                <xdr:row>142</xdr:row>
                <xdr:rowOff>0</xdr:rowOff>
              </from>
              <to>
                <xdr:col>15</xdr:col>
                <xdr:colOff>685800</xdr:colOff>
                <xdr:row>143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16" r:id="rId117" name="AddedMember1_12">
          <controlPr defaultSize="0" print="0" autoFill="0" autoPict="0" macro="_xll.FPMXLClient.TechnicalCategory.ButtonActionInEPMClientFormattingSheet">
            <anchor moveWithCells="1" sizeWithCells="1">
              <from>
                <xdr:col>12</xdr:col>
                <xdr:colOff>0</xdr:colOff>
                <xdr:row>145</xdr:row>
                <xdr:rowOff>0</xdr:rowOff>
              </from>
              <to>
                <xdr:col>12</xdr:col>
                <xdr:colOff>685800</xdr:colOff>
                <xdr:row>146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17" r:id="rId118" name="ChangeMember1_12">
          <controlPr defaultSize="0" print="0" autoFill="0" autoPict="0" macro="_xll.FPMXLClient.TechnicalCategory.ButtonActionInEPMClientFormattingSheet">
            <anchor moveWithCells="1" sizeWithCells="1">
              <from>
                <xdr:col>12</xdr:col>
                <xdr:colOff>704850</xdr:colOff>
                <xdr:row>145</xdr:row>
                <xdr:rowOff>0</xdr:rowOff>
              </from>
              <to>
                <xdr:col>13</xdr:col>
                <xdr:colOff>676275</xdr:colOff>
                <xdr:row>146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18" r:id="rId119" name="UpMember1_12">
          <controlPr defaultSize="0" print="0" autoFill="0" autoPict="0" macro="_xll.FPMXLClient.TechnicalCategory.ButtonActionInEPMClientFormattingSheet">
            <anchor moveWithCells="1" sizeWithCells="1">
              <from>
                <xdr:col>14</xdr:col>
                <xdr:colOff>0</xdr:colOff>
                <xdr:row>145</xdr:row>
                <xdr:rowOff>0</xdr:rowOff>
              </from>
              <to>
                <xdr:col>14</xdr:col>
                <xdr:colOff>685800</xdr:colOff>
                <xdr:row>146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19" r:id="rId120" name="DownMember1_12">
          <controlPr defaultSize="0" print="0" autoFill="0" autoPict="0" macro="_xll.FPMXLClient.TechnicalCategory.ButtonActionInEPMClientFormattingSheet">
            <anchor moveWithCells="1" sizeWithCells="1">
              <from>
                <xdr:col>15</xdr:col>
                <xdr:colOff>0</xdr:colOff>
                <xdr:row>145</xdr:row>
                <xdr:rowOff>0</xdr:rowOff>
              </from>
              <to>
                <xdr:col>15</xdr:col>
                <xdr:colOff>685800</xdr:colOff>
                <xdr:row>146</xdr:row>
                <xdr:rowOff>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ul1">
    <pageSetUpPr fitToPage="1"/>
  </sheetPr>
  <dimension ref="A1:AA133"/>
  <sheetViews>
    <sheetView tabSelected="1" topLeftCell="M14" zoomScale="65" zoomScaleNormal="65" workbookViewId="0">
      <pane xSplit="3" ySplit="22" topLeftCell="R72" activePane="bottomRight" state="frozen"/>
      <selection activeCell="M14" sqref="M14"/>
      <selection pane="topRight" activeCell="P14" sqref="P14"/>
      <selection pane="bottomLeft" activeCell="M36" sqref="M36"/>
      <selection pane="bottomRight" activeCell="T67" sqref="T67"/>
    </sheetView>
  </sheetViews>
  <sheetFormatPr defaultRowHeight="15" outlineLevelRow="1" outlineLevelCol="1" x14ac:dyDescent="0.25"/>
  <cols>
    <col min="1" max="5" width="9.140625" style="77" hidden="1" customWidth="1" outlineLevel="1"/>
    <col min="6" max="6" width="13.7109375" style="77" hidden="1" customWidth="1" outlineLevel="1"/>
    <col min="7" max="7" width="19.7109375" style="77" hidden="1" customWidth="1" outlineLevel="1"/>
    <col min="8" max="8" width="17.42578125" style="77" hidden="1" customWidth="1" outlineLevel="1"/>
    <col min="9" max="9" width="68.42578125" style="77" hidden="1" customWidth="1" outlineLevel="1"/>
    <col min="10" max="10" width="36.42578125" style="77" hidden="1" customWidth="1" outlineLevel="1"/>
    <col min="11" max="11" width="48.7109375" style="77" hidden="1" customWidth="1" outlineLevel="1"/>
    <col min="12" max="12" width="29.42578125" style="77" hidden="1" customWidth="1" outlineLevel="1"/>
    <col min="13" max="13" width="11.140625" style="77" customWidth="1" collapsed="1"/>
    <col min="14" max="14" width="13" style="77" hidden="1" customWidth="1" outlineLevel="1"/>
    <col min="15" max="15" width="67.28515625" style="77" customWidth="1" collapsed="1"/>
    <col min="16" max="16" width="18.85546875" style="77" customWidth="1"/>
    <col min="17" max="17" width="20.140625" style="77" customWidth="1"/>
    <col min="18" max="19" width="18.85546875" style="77" customWidth="1"/>
    <col min="20" max="20" width="20.5703125" style="77" customWidth="1"/>
    <col min="21" max="25" width="18.85546875" style="77" customWidth="1"/>
    <col min="26" max="26" width="21.5703125" style="77" hidden="1" customWidth="1"/>
    <col min="27" max="27" width="30.28515625" style="77" hidden="1" customWidth="1"/>
    <col min="28" max="16384" width="9.140625" style="77"/>
  </cols>
  <sheetData>
    <row r="1" spans="13:25" ht="30" hidden="1" outlineLevel="1" x14ac:dyDescent="0.25">
      <c r="O1" s="76" t="s">
        <v>96</v>
      </c>
    </row>
    <row r="2" spans="13:25" hidden="1" outlineLevel="1" x14ac:dyDescent="0.25"/>
    <row r="3" spans="13:25" hidden="1" outlineLevel="1" x14ac:dyDescent="0.25"/>
    <row r="4" spans="13:25" hidden="1" outlineLevel="1" x14ac:dyDescent="0.25"/>
    <row r="5" spans="13:25" hidden="1" outlineLevel="1" x14ac:dyDescent="0.25"/>
    <row r="6" spans="13:25" hidden="1" outlineLevel="1" x14ac:dyDescent="0.25"/>
    <row r="7" spans="13:25" hidden="1" outlineLevel="1" x14ac:dyDescent="0.25"/>
    <row r="8" spans="13:25" hidden="1" outlineLevel="1" x14ac:dyDescent="0.25"/>
    <row r="9" spans="13:25" hidden="1" outlineLevel="1" x14ac:dyDescent="0.25"/>
    <row r="10" spans="13:25" hidden="1" outlineLevel="1" x14ac:dyDescent="0.25"/>
    <row r="11" spans="13:25" hidden="1" outlineLevel="1" x14ac:dyDescent="0.25"/>
    <row r="12" spans="13:25" hidden="1" outlineLevel="1" x14ac:dyDescent="0.25"/>
    <row r="13" spans="13:25" hidden="1" outlineLevel="1" x14ac:dyDescent="0.25"/>
    <row r="14" spans="13:25" ht="15" customHeight="1" collapsed="1" x14ac:dyDescent="0.25"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</row>
    <row r="15" spans="13:25" ht="41.25" customHeight="1" x14ac:dyDescent="0.25"/>
    <row r="16" spans="13:25" ht="15.75" customHeight="1" x14ac:dyDescent="0.25"/>
    <row r="17" spans="6:27" ht="14.25" customHeight="1" x14ac:dyDescent="0.25">
      <c r="M17" s="78" t="str">
        <f>P125 &amp; " " &amp; R125</f>
        <v>TLK3_TA Tarkastuslautakunta</v>
      </c>
    </row>
    <row r="18" spans="6:27" ht="39.75" customHeight="1" x14ac:dyDescent="0.25"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80" t="str">
        <f>"TP"&amp;" "&amp;(LEFT(P123,4)-1)</f>
        <v>TP 2017</v>
      </c>
      <c r="Q18" s="81" t="str">
        <f>"TA"&amp;" "&amp;(LEFT(P123,4))</f>
        <v>TA 2018</v>
      </c>
      <c r="R18" s="81" t="str">
        <f>"TA"&amp;" "&amp;(LEFT(P123,4))&amp;" muutos"</f>
        <v>TA 2018 muutos</v>
      </c>
      <c r="S18" s="81" t="str">
        <f>"TA"&amp;" "&amp;(LEFT(P123,4))&amp;"
 siirto"</f>
        <v>TA 2018
 siirto</v>
      </c>
      <c r="T18" s="81" t="str">
        <f>"TA"&amp;" "&amp;(LEFT(P123,4))&amp;" yhteensä"</f>
        <v>TA 2018 yhteensä</v>
      </c>
      <c r="U18" s="81" t="str">
        <f>"Kumul. toteuma"&amp;" "&amp;(LEFT(P123,4))</f>
        <v>Kumul. toteuma 2018</v>
      </c>
      <c r="V18" s="81" t="str">
        <f>"Puuttuvat kirjaukset"&amp;
" "&amp;(LEFT(L123,4))</f>
        <v xml:space="preserve">Puuttuvat kirjaukset </v>
      </c>
      <c r="W18" s="81" t="s">
        <v>93</v>
      </c>
      <c r="X18" s="81" t="str">
        <f>"Ennuste"&amp;" "&amp;(LEFT(P123,4))</f>
        <v>Ennuste 2018</v>
      </c>
      <c r="Y18" s="81" t="s">
        <v>94</v>
      </c>
      <c r="Z18" s="81" t="str">
        <f>"Puuttuvat kirjaukset"&amp;
" "&amp;(LEFT(P123,4)) &amp; " save"</f>
        <v>Puuttuvat kirjaukset 2018 save</v>
      </c>
      <c r="AA18" s="81" t="str">
        <f>"Ennuste"&amp;" "&amp;(LEFT(T123,4)) &amp; " save"</f>
        <v>Ennuste  save</v>
      </c>
    </row>
    <row r="19" spans="6:27" ht="14.25" hidden="1" customHeight="1" outlineLevel="1" x14ac:dyDescent="0.25">
      <c r="F19" s="77" t="s">
        <v>89</v>
      </c>
      <c r="G19" s="77" t="s">
        <v>88</v>
      </c>
      <c r="O19" s="77" t="s">
        <v>86</v>
      </c>
      <c r="P19" s="77" t="str">
        <f>$G$19</f>
        <v>TOIMINTOALUE:YHT</v>
      </c>
      <c r="Q19" s="77" t="str">
        <f>$G$19</f>
        <v>TOIMINTOALUE:YHT</v>
      </c>
      <c r="R19" s="77" t="str">
        <f>$G$19</f>
        <v>TOIMINTOALUE:YHT</v>
      </c>
      <c r="S19" s="77" t="str">
        <f>$G$19</f>
        <v>TOIMINTOALUE:YHT</v>
      </c>
      <c r="U19" s="77" t="str">
        <f>$G$19</f>
        <v>TOIMINTOALUE:YHT</v>
      </c>
      <c r="V19" s="77" t="s">
        <v>99</v>
      </c>
      <c r="W19" s="77" t="s">
        <v>99</v>
      </c>
      <c r="X19" s="77" t="s">
        <v>99</v>
      </c>
      <c r="Z19" s="77" t="s">
        <v>99</v>
      </c>
      <c r="AA19" s="77" t="s">
        <v>99</v>
      </c>
    </row>
    <row r="20" spans="6:27" ht="14.25" hidden="1" customHeight="1" outlineLevel="1" x14ac:dyDescent="0.25">
      <c r="F20" s="77" t="s">
        <v>90</v>
      </c>
      <c r="G20" s="77" t="s">
        <v>87</v>
      </c>
      <c r="O20" s="77" t="s">
        <v>85</v>
      </c>
      <c r="P20" s="77" t="str">
        <f>$G$20</f>
        <v>TILAUS:YHTEENSA</v>
      </c>
      <c r="Q20" s="77" t="str">
        <f>$G$20</f>
        <v>TILAUS:YHTEENSA</v>
      </c>
      <c r="R20" s="77" t="str">
        <f>$G$20</f>
        <v>TILAUS:YHTEENSA</v>
      </c>
      <c r="S20" s="77" t="str">
        <f>$G$20</f>
        <v>TILAUS:YHTEENSA</v>
      </c>
      <c r="U20" s="77" t="str">
        <f>$G$20</f>
        <v>TILAUS:YHTEENSA</v>
      </c>
      <c r="V20" s="77" t="str">
        <f>$P$127</f>
        <v>YHTEENSA</v>
      </c>
      <c r="W20" s="77" t="str">
        <f>P$127</f>
        <v>YHTEENSA</v>
      </c>
      <c r="X20" s="77" t="str">
        <f>$P$127</f>
        <v>YHTEENSA</v>
      </c>
      <c r="Z20" s="77" t="str">
        <f>$P$127</f>
        <v>YHTEENSA</v>
      </c>
      <c r="AA20" s="77" t="str">
        <f>$P$127</f>
        <v>YHTEENSA</v>
      </c>
    </row>
    <row r="21" spans="6:27" hidden="1" outlineLevel="1" x14ac:dyDescent="0.25">
      <c r="O21" s="77" t="s">
        <v>81</v>
      </c>
      <c r="P21" s="77" t="str">
        <f>$G$23</f>
        <v>KUMPPANI:1001</v>
      </c>
      <c r="Q21" s="77" t="str">
        <f>$G$23</f>
        <v>KUMPPANI:1001</v>
      </c>
      <c r="R21" s="77" t="str">
        <f>$G$23</f>
        <v>KUMPPANI:1001</v>
      </c>
      <c r="S21" s="77" t="str">
        <f>$G$23</f>
        <v>KUMPPANI:1001</v>
      </c>
      <c r="U21" s="77" t="str">
        <f>$G$23</f>
        <v>KUMPPANI:1001</v>
      </c>
      <c r="V21" s="77" t="str">
        <f>$H$23</f>
        <v>KUMPPANI:1001</v>
      </c>
      <c r="W21" s="77" t="str">
        <f>$G$23</f>
        <v>KUMPPANI:1001</v>
      </c>
      <c r="X21" s="77" t="str">
        <f>$H$23</f>
        <v>KUMPPANI:1001</v>
      </c>
      <c r="Z21" s="77" t="str">
        <f>$H$23</f>
        <v>KUMPPANI:1001</v>
      </c>
      <c r="AA21" s="77" t="str">
        <f>$H$23</f>
        <v>KUMPPANI:1001</v>
      </c>
    </row>
    <row r="22" spans="6:27" hidden="1" outlineLevel="1" x14ac:dyDescent="0.25">
      <c r="F22" s="77" t="s">
        <v>84</v>
      </c>
      <c r="G22" s="77" t="str">
        <f>"KUSTANNUSPAIKKA:1000"&amp;LEFT($P$125,FIND("_",$P$125)-1)</f>
        <v>KUSTANNUSPAIKKA:1000TLK3</v>
      </c>
      <c r="O22" s="77" t="s">
        <v>83</v>
      </c>
      <c r="P22" s="77" t="str">
        <f>$G$22</f>
        <v>KUSTANNUSPAIKKA:1000TLK3</v>
      </c>
      <c r="Q22" s="77" t="str">
        <f>$G$22</f>
        <v>KUSTANNUSPAIKKA:1000TLK3</v>
      </c>
      <c r="R22" s="77" t="str">
        <f>$G$22</f>
        <v>KUSTANNUSPAIKKA:1000TLK3</v>
      </c>
      <c r="S22" s="77" t="str">
        <f>$G$22</f>
        <v>KUSTANNUSPAIKKA:1000TLK3</v>
      </c>
      <c r="U22" s="77" t="str">
        <f>$G$22</f>
        <v>KUSTANNUSPAIKKA:1000TLK3</v>
      </c>
      <c r="V22" s="77" t="str">
        <f>$P$125</f>
        <v>TLK3_TA</v>
      </c>
      <c r="W22" s="77" t="str">
        <f>P$125</f>
        <v>TLK3_TA</v>
      </c>
      <c r="X22" s="77" t="str">
        <f>$P$125</f>
        <v>TLK3_TA</v>
      </c>
      <c r="Z22" s="77" t="str">
        <f>$P$125</f>
        <v>TLK3_TA</v>
      </c>
      <c r="AA22" s="77" t="str">
        <f>$P$125</f>
        <v>TLK3_TA</v>
      </c>
    </row>
    <row r="23" spans="6:27" hidden="1" outlineLevel="1" x14ac:dyDescent="0.25">
      <c r="F23" s="77" t="s">
        <v>82</v>
      </c>
      <c r="G23" s="77" t="str">
        <f>IF($P$124="KAUPYHT2","KUMPPANI:YHT",IF($P$124="ULKOINEN","ULKOINEN",$P$124))</f>
        <v>KUMPPANI:1001</v>
      </c>
      <c r="H23" s="77" t="str">
        <f>_xll.EPMContextMember(,$O$124)</f>
        <v>KUMPPANI:1001</v>
      </c>
      <c r="O23" s="77" t="s">
        <v>14</v>
      </c>
      <c r="P23" s="77" t="str">
        <f t="shared" ref="P23:U23" si="0">$G$24</f>
        <v>2018.Yhteensä</v>
      </c>
      <c r="Q23" s="77" t="str">
        <f t="shared" si="0"/>
        <v>2018.Yhteensä</v>
      </c>
      <c r="R23" s="77" t="str">
        <f t="shared" si="0"/>
        <v>2018.Yhteensä</v>
      </c>
      <c r="S23" s="77" t="str">
        <f t="shared" si="0"/>
        <v>2018.Yhteensä</v>
      </c>
      <c r="U23" s="77" t="str">
        <f t="shared" si="0"/>
        <v>2018.Yhteensä</v>
      </c>
      <c r="V23" s="77" t="str">
        <f>$G$25</f>
        <v>2018.vuosi_syöttö</v>
      </c>
      <c r="W23" s="77" t="str">
        <f>G$25</f>
        <v>2018.vuosi_syöttö</v>
      </c>
      <c r="X23" s="77" t="str">
        <f>$G$25</f>
        <v>2018.vuosi_syöttö</v>
      </c>
      <c r="Z23" s="77" t="str">
        <f>$G$25</f>
        <v>2018.vuosi_syöttö</v>
      </c>
      <c r="AA23" s="77" t="str">
        <f>$G$25</f>
        <v>2018.vuosi_syöttö</v>
      </c>
    </row>
    <row r="24" spans="6:27" hidden="1" outlineLevel="1" x14ac:dyDescent="0.25">
      <c r="F24" s="77" t="s">
        <v>13</v>
      </c>
      <c r="G24" s="77" t="str">
        <f>LEFT(P123,4)&amp;".Yhteensä"</f>
        <v>2018.Yhteensä</v>
      </c>
      <c r="O24" s="77" t="s">
        <v>15</v>
      </c>
      <c r="P24" s="77" t="s">
        <v>22</v>
      </c>
      <c r="Q24" s="77" t="s">
        <v>22</v>
      </c>
      <c r="R24" s="77" t="s">
        <v>22</v>
      </c>
      <c r="S24" s="77" t="s">
        <v>22</v>
      </c>
      <c r="U24" s="77" t="s">
        <v>22</v>
      </c>
      <c r="V24" s="77" t="str">
        <f>$P$131</f>
        <v>ENN_V6</v>
      </c>
      <c r="W24" s="77" t="str">
        <f>P$131</f>
        <v>ENN_V6</v>
      </c>
      <c r="X24" s="77" t="str">
        <f>$P$131</f>
        <v>ENN_V6</v>
      </c>
      <c r="Z24" s="77" t="str">
        <f>$P$131</f>
        <v>ENN_V6</v>
      </c>
      <c r="AA24" s="77" t="str">
        <f>$P$131</f>
        <v>ENN_V6</v>
      </c>
    </row>
    <row r="25" spans="6:27" hidden="1" outlineLevel="1" x14ac:dyDescent="0.25">
      <c r="F25" s="77" t="s">
        <v>92</v>
      </c>
      <c r="G25" s="77" t="str">
        <f>LEFT(P123,4)&amp;".vuosi_syöttö"</f>
        <v>2018.vuosi_syöttö</v>
      </c>
      <c r="O25" s="77" t="s">
        <v>16</v>
      </c>
      <c r="P25" s="82" t="s">
        <v>17</v>
      </c>
      <c r="Q25" s="83" t="s">
        <v>18</v>
      </c>
      <c r="R25" s="83" t="s">
        <v>19</v>
      </c>
      <c r="S25" s="82" t="s">
        <v>20</v>
      </c>
      <c r="U25" s="77" t="s">
        <v>91</v>
      </c>
      <c r="V25" s="77" t="s">
        <v>21</v>
      </c>
      <c r="W25" s="77" t="s">
        <v>95</v>
      </c>
      <c r="X25" s="77" t="s">
        <v>95</v>
      </c>
      <c r="Z25" s="77" t="s">
        <v>21</v>
      </c>
      <c r="AA25" s="77" t="s">
        <v>95</v>
      </c>
    </row>
    <row r="26" spans="6:27" hidden="1" outlineLevel="1" x14ac:dyDescent="0.25">
      <c r="P26" s="82"/>
      <c r="Q26" s="83"/>
      <c r="R26" s="83"/>
      <c r="S26" s="82"/>
    </row>
    <row r="27" spans="6:27" hidden="1" outlineLevel="1" x14ac:dyDescent="0.25">
      <c r="P27" s="82"/>
      <c r="Q27" s="83"/>
      <c r="R27" s="83"/>
      <c r="S27" s="82"/>
    </row>
    <row r="28" spans="6:27" hidden="1" outlineLevel="1" x14ac:dyDescent="0.25">
      <c r="P28" s="84"/>
      <c r="Q28" s="85"/>
      <c r="R28" s="85"/>
      <c r="S28" s="84"/>
    </row>
    <row r="29" spans="6:27" hidden="1" outlineLevel="1" x14ac:dyDescent="0.25">
      <c r="L29" s="86" t="str">
        <f xml:space="preserve"> _xll.EPMOlapMemberO("[Blank Member]","","","","000")</f>
        <v/>
      </c>
      <c r="M29" s="86" t="str">
        <f xml:space="preserve"> _xll.EPMOlapMemberO("[Blank Member]","","","","000")</f>
        <v/>
      </c>
      <c r="N29" s="86" t="str">
        <f xml:space="preserve"> _xll.EPMOlapMemberO("[Blank Member]","","","","000")</f>
        <v/>
      </c>
      <c r="O29" s="86" t="str">
        <f xml:space="preserve"> _xll.EPMOlapMemberO("[Blank Member]","","","","000")</f>
        <v/>
      </c>
      <c r="P29" s="86" t="str">
        <f xml:space="preserve"> _xll.EPMOlapMemberO(P$19,"[TOIMINTOALUE].[PARENTH1].[YHT]","YHT - Yhteensä","","000")</f>
        <v>TOIMINTOALUE:YHT</v>
      </c>
      <c r="Q29" s="86" t="str">
        <f xml:space="preserve"> _xll.EPMOlapMemberO(Q$19,"[TOIMINTOALUE].[PARENTH1].[YHT]","YHT - Yhteensä","","000")</f>
        <v>TOIMINTOALUE:YHT</v>
      </c>
      <c r="R29" s="86" t="str">
        <f xml:space="preserve"> _xll.EPMOlapMemberO(R$19,"[TOIMINTOALUE].[PARENTH1].[YHT]","YHT - Yhteensä","","000")</f>
        <v>TOIMINTOALUE:YHT</v>
      </c>
      <c r="S29" s="86" t="str">
        <f xml:space="preserve"> _xll.EPMOlapMemberO(S$19,"[TOIMINTOALUE].[PARENTH1].[YHT]","YHT - Yhteensä","","000")</f>
        <v>TOIMINTOALUE:YHT</v>
      </c>
      <c r="T29" s="86" t="str">
        <f xml:space="preserve"> _xll.EPMOlapMemberO(S$19,"[TOIMINTOALUE].[PARENTH1].[YHT]","YHT - Yhteensä","","000")</f>
        <v>TOIMINTOALUE:YHT</v>
      </c>
      <c r="U29" s="86" t="str">
        <f xml:space="preserve"> _xll.EPMOlapMemberO(U$19,"[TOIMINTOALUE].[PARENTH1].[YHT]","YHT - Yhteensä","","000")</f>
        <v>TOIMINTOALUE:YHT</v>
      </c>
      <c r="V29" s="86" t="str">
        <f xml:space="preserve"> _xll.EPMOlapMemberO(U$19,"[TOIMINTOALUE].[PARENTH1].[YHT]","YHT - Yhteensä","","000")</f>
        <v>TOIMINTOALUE:YHT</v>
      </c>
      <c r="W29" s="86" t="str">
        <f xml:space="preserve"> _xll.EPMOlapMemberO(U$19,"[TOIMINTOALUE].[PARENTH1].[YHT]","YHT - Yhteensä","","000")</f>
        <v>TOIMINTOALUE:YHT</v>
      </c>
      <c r="X29" s="86" t="str">
        <f xml:space="preserve"> _xll.EPMOlapMemberO(U$19,"[TOIMINTOALUE].[PARENTH1].[YHT]","YHT - Yhteensä","","000")</f>
        <v>TOIMINTOALUE:YHT</v>
      </c>
      <c r="Y29" s="86" t="str">
        <f xml:space="preserve"> _xll.EPMOlapMemberO(U$19,"[TOIMINTOALUE].[PARENTH1].[YHT]","YHT - Yhteensä","","000")</f>
        <v>TOIMINTOALUE:YHT</v>
      </c>
      <c r="Z29" s="86" t="str">
        <f xml:space="preserve"> _xll.EPMOlapMemberO(U$19,"[TOIMINTOALUE].[PARENTH1].[YHT]","YHT - Yhteensä","","000")</f>
        <v>TOIMINTOALUE:YHT</v>
      </c>
      <c r="AA29" s="86" t="str">
        <f xml:space="preserve"> _xll.EPMOlapMemberO(U$19,"[TOIMINTOALUE].[PARENTH1].[YHT]","YHT - Yhteensä","","000")</f>
        <v>TOIMINTOALUE:YHT</v>
      </c>
    </row>
    <row r="30" spans="6:27" hidden="1" outlineLevel="1" x14ac:dyDescent="0.25">
      <c r="L30" s="86" t="str">
        <f xml:space="preserve"> _xll.EPMOlapMemberO("[Blank Member]","","","","000")</f>
        <v/>
      </c>
      <c r="M30" s="86" t="str">
        <f xml:space="preserve"> _xll.EPMOlapMemberO("[Blank Member]","","","","000")</f>
        <v/>
      </c>
      <c r="N30" s="86" t="str">
        <f xml:space="preserve"> _xll.EPMOlapMemberO("[Blank Member]","","","","000")</f>
        <v/>
      </c>
      <c r="O30" s="86" t="str">
        <f xml:space="preserve"> _xll.EPMOlapMemberO("[Blank Member]","","","","000")</f>
        <v/>
      </c>
      <c r="P30" s="86" t="str">
        <f xml:space="preserve"> _xll.EPMOlapMemberO(P$20,"[TILAUS].[PARENTH1].[YHTEENSA]","YHTEENSA - Tilastolliset tilaukset YHTEENSÄ","","000")</f>
        <v>TILAUS:YHTEENSA</v>
      </c>
      <c r="Q30" s="86" t="str">
        <f xml:space="preserve"> _xll.EPMOlapMemberO(Q$20,"[TILAUS].[PARENTH1].[YHTEENSA]","YHTEENSA - Tilastolliset tilaukset YHTEENSÄ","","000")</f>
        <v>TILAUS:YHTEENSA</v>
      </c>
      <c r="R30" s="86" t="str">
        <f xml:space="preserve"> _xll.EPMOlapMemberO(R$20,"[TILAUS].[PARENTH1].[YHTEENSA]","YHTEENSA - Tilastolliset tilaukset YHTEENSÄ","","000")</f>
        <v>TILAUS:YHTEENSA</v>
      </c>
      <c r="S30" s="86" t="str">
        <f xml:space="preserve"> _xll.EPMOlapMemberO(S$20,"[TILAUS].[PARENTH1].[YHTEENSA]","YHTEENSA - Tilastolliset tilaukset YHTEENSÄ","","000")</f>
        <v>TILAUS:YHTEENSA</v>
      </c>
      <c r="T30" s="86" t="str">
        <f xml:space="preserve"> _xll.EPMOlapMemberO(S$20,"[TILAUS].[PARENTH1].[YHTEENSA]","YHTEENSA - Tilastolliset tilaukset YHTEENSÄ","","000")</f>
        <v>TILAUS:YHTEENSA</v>
      </c>
      <c r="U30" s="86" t="str">
        <f xml:space="preserve"> _xll.EPMOlapMemberO(U$20,"[TILAUS].[PARENTH1].[YHTEENSA]","YHTEENSA - Tilastolliset tilaukset YHTEENSÄ","","000")</f>
        <v>TILAUS:YHTEENSA</v>
      </c>
      <c r="V30" s="86" t="str">
        <f xml:space="preserve"> _xll.EPMOlapMemberO(U$20,"[TILAUS].[PARENTH1].[YHTEENSA]","YHTEENSA - Tilastolliset tilaukset YHTEENSÄ","","000")</f>
        <v>TILAUS:YHTEENSA</v>
      </c>
      <c r="W30" s="86" t="str">
        <f xml:space="preserve"> _xll.EPMOlapMemberO(U$20,"[TILAUS].[PARENTH1].[YHTEENSA]","YHTEENSA - Tilastolliset tilaukset YHTEENSÄ","","000")</f>
        <v>TILAUS:YHTEENSA</v>
      </c>
      <c r="X30" s="86" t="str">
        <f xml:space="preserve"> _xll.EPMOlapMemberO(U$20,"[TILAUS].[PARENTH1].[YHTEENSA]","YHTEENSA - Tilastolliset tilaukset YHTEENSÄ","","000")</f>
        <v>TILAUS:YHTEENSA</v>
      </c>
      <c r="Y30" s="86" t="str">
        <f xml:space="preserve"> _xll.EPMOlapMemberO(U$20,"[TILAUS].[PARENTH1].[YHTEENSA]","YHTEENSA - Tilastolliset tilaukset YHTEENSÄ","","000")</f>
        <v>TILAUS:YHTEENSA</v>
      </c>
      <c r="Z30" s="86" t="str">
        <f xml:space="preserve"> _xll.EPMOlapMemberO(U$20,"[TILAUS].[PARENTH1].[YHTEENSA]","YHTEENSA - Tilastolliset tilaukset YHTEENSÄ","","000")</f>
        <v>TILAUS:YHTEENSA</v>
      </c>
      <c r="AA30" s="86" t="str">
        <f xml:space="preserve"> _xll.EPMOlapMemberO(U$20,"[TILAUS].[PARENTH1].[YHTEENSA]","YHTEENSA - Tilastolliset tilaukset YHTEENSÄ","","000")</f>
        <v>TILAUS:YHTEENSA</v>
      </c>
    </row>
    <row r="31" spans="6:27" hidden="1" outlineLevel="1" x14ac:dyDescent="0.25">
      <c r="L31" s="86" t="str">
        <f xml:space="preserve"> _xll.EPMOlapMemberO("[Blank Member]","","","","000")</f>
        <v/>
      </c>
      <c r="M31" s="86" t="str">
        <f xml:space="preserve"> _xll.EPMOlapMemberO("[Blank Member]","","","","000")</f>
        <v/>
      </c>
      <c r="N31" s="86" t="str">
        <f xml:space="preserve"> _xll.EPMOlapMemberO("[Blank Member]","","","","000")</f>
        <v/>
      </c>
      <c r="O31" s="86" t="str">
        <f xml:space="preserve"> _xll.EPMOlapMemberO("[Blank Member]","","","","000")</f>
        <v/>
      </c>
      <c r="P31" s="86" t="str">
        <f xml:space="preserve"> _xll.EPMOlapMemberO(P$21,"[KUMPPANI].[PARENTH1].[1001]","1001 - Turun kaupunki","","000")</f>
        <v>KUMPPANI:1001</v>
      </c>
      <c r="Q31" s="86" t="str">
        <f xml:space="preserve"> _xll.EPMOlapMemberO(Q$21,"[KUMPPANI].[PARENTH1].[1001]","1001 - Turun kaupunki","","000")</f>
        <v>KUMPPANI:1001</v>
      </c>
      <c r="R31" s="86" t="str">
        <f xml:space="preserve"> _xll.EPMOlapMemberO(R$21,"[KUMPPANI].[PARENTH1].[1001]","1001 - Turun kaupunki","","000")</f>
        <v>KUMPPANI:1001</v>
      </c>
      <c r="S31" s="86" t="str">
        <f xml:space="preserve"> _xll.EPMOlapMemberO(S$21,"[KUMPPANI].[PARENTH1].[1001]","1001 - Turun kaupunki","","000")</f>
        <v>KUMPPANI:1001</v>
      </c>
      <c r="T31" s="86" t="str">
        <f xml:space="preserve"> _xll.EPMOlapMemberO(S$21,"[KUMPPANI].[PARENTH1].[1001]","1001 - Turun kaupunki","","000")</f>
        <v>KUMPPANI:1001</v>
      </c>
      <c r="U31" s="86" t="str">
        <f xml:space="preserve"> _xll.EPMOlapMemberO(U$21,"[KUMPPANI].[PARENTH1].[1001]","1001 - Turun kaupunki","","000")</f>
        <v>KUMPPANI:1001</v>
      </c>
      <c r="V31" s="86" t="str">
        <f xml:space="preserve"> _xll.EPMOlapMemberO(U$21,"[KUMPPANI].[PARENTH1].[1001]","1001 - Turun kaupunki","","000")</f>
        <v>KUMPPANI:1001</v>
      </c>
      <c r="W31" s="86" t="str">
        <f xml:space="preserve"> _xll.EPMOlapMemberO(U$21,"[KUMPPANI].[PARENTH1].[1001]","1001 - Turun kaupunki","","000")</f>
        <v>KUMPPANI:1001</v>
      </c>
      <c r="X31" s="86" t="str">
        <f xml:space="preserve"> _xll.EPMOlapMemberO(U$21,"[KUMPPANI].[PARENTH1].[1001]","1001 - Turun kaupunki","","000")</f>
        <v>KUMPPANI:1001</v>
      </c>
      <c r="Y31" s="86" t="str">
        <f xml:space="preserve"> _xll.EPMOlapMemberO(U$21,"[KUMPPANI].[PARENTH1].[1001]","1001 - Turun kaupunki","","000")</f>
        <v>KUMPPANI:1001</v>
      </c>
      <c r="Z31" s="86" t="str">
        <f xml:space="preserve"> _xll.EPMOlapMemberO(U$21,"[KUMPPANI].[PARENTH1].[1001]","1001 - Turun kaupunki","","000")</f>
        <v>KUMPPANI:1001</v>
      </c>
      <c r="AA31" s="86" t="str">
        <f xml:space="preserve"> _xll.EPMOlapMemberO(U$21,"[KUMPPANI].[PARENTH1].[1001]","1001 - Turun kaupunki","","000")</f>
        <v>KUMPPANI:1001</v>
      </c>
    </row>
    <row r="32" spans="6:27" hidden="1" outlineLevel="1" x14ac:dyDescent="0.25">
      <c r="L32" s="86" t="str">
        <f xml:space="preserve"> _xll.EPMOlapMemberO("[Blank Member]","","","","000")</f>
        <v/>
      </c>
      <c r="M32" s="86" t="str">
        <f xml:space="preserve"> _xll.EPMOlapMemberO("[Blank Member]","","","","000")</f>
        <v/>
      </c>
      <c r="N32" s="86" t="str">
        <f xml:space="preserve"> _xll.EPMOlapMemberO("[Blank Member]","","","","000")</f>
        <v/>
      </c>
      <c r="O32" s="86" t="str">
        <f xml:space="preserve"> _xll.EPMOlapMemberO("[Blank Member]","","","","000")</f>
        <v/>
      </c>
      <c r="P32" s="86" t="str">
        <f xml:space="preserve"> _xll.EPMOlapMemberO(P$22,"[KUSTANNUSPAIKKA].[PARENTH1].[1000TLK3]","1000TLK3 - Tarkastuslautakunta","","000")</f>
        <v>KUSTANNUSPAIKKA:1000TLK3</v>
      </c>
      <c r="Q32" s="86" t="str">
        <f xml:space="preserve"> _xll.EPMOlapMemberO(Q$22,"[KUSTANNUSPAIKKA].[PARENTH1].[1000TLK3]","1000TLK3 - Tarkastuslautakunta","","000")</f>
        <v>KUSTANNUSPAIKKA:1000TLK3</v>
      </c>
      <c r="R32" s="86" t="str">
        <f xml:space="preserve"> _xll.EPMOlapMemberO(R$22,"[KUSTANNUSPAIKKA].[PARENTH1].[1000TLK3]","1000TLK3 - Tarkastuslautakunta","","000")</f>
        <v>KUSTANNUSPAIKKA:1000TLK3</v>
      </c>
      <c r="S32" s="86" t="str">
        <f xml:space="preserve"> _xll.EPMOlapMemberO(S$22,"[KUSTANNUSPAIKKA].[PARENTH1].[1000TLK3]","1000TLK3 - Tarkastuslautakunta","","000")</f>
        <v>KUSTANNUSPAIKKA:1000TLK3</v>
      </c>
      <c r="T32" s="86" t="str">
        <f xml:space="preserve"> _xll.EPMOlapMemberO(S$22,"[KUSTANNUSPAIKKA].[PARENTH1].[1000TLK3]","1000TLK3 - Tarkastuslautakunta","","000")</f>
        <v>KUSTANNUSPAIKKA:1000TLK3</v>
      </c>
      <c r="U32" s="86" t="str">
        <f xml:space="preserve"> _xll.EPMOlapMemberO(U$22,"[KUSTANNUSPAIKKA].[PARENTH1].[1000TLK3]","1000TLK3 - Tarkastuslautakunta","","000")</f>
        <v>KUSTANNUSPAIKKA:1000TLK3</v>
      </c>
      <c r="V32" s="86" t="str">
        <f xml:space="preserve"> _xll.EPMOlapMemberO(U$22,"[KUSTANNUSPAIKKA].[PARENTH1].[1000TLK3]","1000TLK3 - Tarkastuslautakunta","","000")</f>
        <v>KUSTANNUSPAIKKA:1000TLK3</v>
      </c>
      <c r="W32" s="86" t="str">
        <f xml:space="preserve"> _xll.EPMOlapMemberO(U$22,"[KUSTANNUSPAIKKA].[PARENTH1].[1000TLK3]","1000TLK3 - Tarkastuslautakunta","","000")</f>
        <v>KUSTANNUSPAIKKA:1000TLK3</v>
      </c>
      <c r="X32" s="86" t="str">
        <f xml:space="preserve"> _xll.EPMOlapMemberO(U$22,"[KUSTANNUSPAIKKA].[PARENTH1].[1000TLK3]","1000TLK3 - Tarkastuslautakunta","","000")</f>
        <v>KUSTANNUSPAIKKA:1000TLK3</v>
      </c>
      <c r="Y32" s="86" t="str">
        <f xml:space="preserve"> _xll.EPMOlapMemberO(U$22,"[KUSTANNUSPAIKKA].[PARENTH1].[1000TLK3]","1000TLK3 - Tarkastuslautakunta","","000")</f>
        <v>KUSTANNUSPAIKKA:1000TLK3</v>
      </c>
      <c r="Z32" s="86" t="str">
        <f xml:space="preserve"> _xll.EPMOlapMemberO(U$22,"[KUSTANNUSPAIKKA].[PARENTH1].[1000TLK3]","1000TLK3 - Tarkastuslautakunta","","000")</f>
        <v>KUSTANNUSPAIKKA:1000TLK3</v>
      </c>
      <c r="AA32" s="86" t="str">
        <f xml:space="preserve"> _xll.EPMOlapMemberO(U$22,"[KUSTANNUSPAIKKA].[PARENTH1].[1000TLK3]","1000TLK3 - Tarkastuslautakunta","","000")</f>
        <v>KUSTANNUSPAIKKA:1000TLK3</v>
      </c>
    </row>
    <row r="33" spans="6:27" hidden="1" outlineLevel="1" x14ac:dyDescent="0.25">
      <c r="L33" s="86" t="str">
        <f xml:space="preserve"> _xll.EPMOlapMemberO("[Blank Member]","","","","000")</f>
        <v/>
      </c>
      <c r="M33" s="86" t="str">
        <f xml:space="preserve"> _xll.EPMOlapMemberO("[Blank Member]","","","","000")</f>
        <v/>
      </c>
      <c r="N33" s="86" t="str">
        <f xml:space="preserve"> _xll.EPMOlapMemberO("[Blank Member]","","","","000")</f>
        <v/>
      </c>
      <c r="O33" s="86" t="str">
        <f xml:space="preserve"> _xll.EPMOlapMemberO("[Blank Member]","","","","000")</f>
        <v/>
      </c>
      <c r="P33" s="86" t="str">
        <f xml:space="preserve"> _xll.EPMOlapMemberO(P$23,"[AIKA].[PARENTH1].[2018.YHTEENSA]","2018.Yhteensä","","000")</f>
        <v>2018.Yhteensä</v>
      </c>
      <c r="Q33" s="86" t="str">
        <f xml:space="preserve"> _xll.EPMOlapMemberO(Q$23,"[AIKA].[PARENTH1].[2018.YHTEENSA]","2018.Yhteensä","","000")</f>
        <v>2018.Yhteensä</v>
      </c>
      <c r="R33" s="86" t="str">
        <f xml:space="preserve"> _xll.EPMOlapMemberO(R$23,"[AIKA].[PARENTH1].[2018.YHTEENSA]","2018.Yhteensä","","000")</f>
        <v>2018.Yhteensä</v>
      </c>
      <c r="S33" s="86" t="str">
        <f xml:space="preserve"> _xll.EPMOlapMemberO(S$23,"[AIKA].[PARENTH1].[2018.YHTEENSA]","2018.Yhteensä","","000")</f>
        <v>2018.Yhteensä</v>
      </c>
      <c r="T33" s="86" t="str">
        <f xml:space="preserve"> _xll.EPMOlapMemberO(S$23,"[AIKA].[PARENTH1].[2018.YHTEENSA]","2018.Yhteensä","","000")</f>
        <v>2018.Yhteensä</v>
      </c>
      <c r="U33" s="86" t="str">
        <f xml:space="preserve"> _xll.EPMOlapMemberO(U$23,"[AIKA].[PARENTH1].[2018.YHTEENSA]","2018.Yhteensä","","000")</f>
        <v>2018.Yhteensä</v>
      </c>
      <c r="V33" s="86" t="str">
        <f xml:space="preserve"> _xll.EPMOlapMemberO(U$23,"[AIKA].[PARENTH1].[2018.YHTEENSA]","2018.Yhteensä","","000")</f>
        <v>2018.Yhteensä</v>
      </c>
      <c r="W33" s="86" t="str">
        <f xml:space="preserve"> _xll.EPMOlapMemberO(U$23,"[AIKA].[PARENTH1].[2018.YHTEENSA]","2018.Yhteensä","","000")</f>
        <v>2018.Yhteensä</v>
      </c>
      <c r="X33" s="86" t="str">
        <f xml:space="preserve"> _xll.EPMOlapMemberO(U$23,"[AIKA].[PARENTH1].[2018.YHTEENSA]","2018.Yhteensä","","000")</f>
        <v>2018.Yhteensä</v>
      </c>
      <c r="Y33" s="86" t="str">
        <f xml:space="preserve"> _xll.EPMOlapMemberO(U$23,"[AIKA].[PARENTH1].[2018.YHTEENSA]","2018.Yhteensä","","000")</f>
        <v>2018.Yhteensä</v>
      </c>
      <c r="Z33" s="86" t="str">
        <f xml:space="preserve"> _xll.EPMOlapMemberO(U$23,"[AIKA].[PARENTH1].[2018.YHTEENSA]","2018.Yhteensä","","000")</f>
        <v>2018.Yhteensä</v>
      </c>
      <c r="AA33" s="86" t="str">
        <f xml:space="preserve"> _xll.EPMOlapMemberO(U$23,"[AIKA].[PARENTH1].[2018.YHTEENSA]","2018.Yhteensä","","000")</f>
        <v>2018.Yhteensä</v>
      </c>
    </row>
    <row r="34" spans="6:27" hidden="1" outlineLevel="1" x14ac:dyDescent="0.25">
      <c r="L34" s="86" t="str">
        <f xml:space="preserve"> _xll.EPMOlapMemberO("[Blank Member]","","","","000")</f>
        <v/>
      </c>
      <c r="M34" s="86" t="str">
        <f xml:space="preserve"> _xll.EPMOlapMemberO("[Blank Member]","","","","000")</f>
        <v/>
      </c>
      <c r="N34" s="86" t="str">
        <f xml:space="preserve"> _xll.EPMOlapMemberO("[Blank Member]","","","","000")</f>
        <v/>
      </c>
      <c r="O34" s="86" t="str">
        <f xml:space="preserve"> _xll.EPMOlapMemberO("[Blank Member]","","","","000")</f>
        <v/>
      </c>
      <c r="P34" s="86" t="str">
        <f xml:space="preserve"> _xll.EPMOlapMemberO(P$24,"[VERSIO].[PARENTH1].[TOT]","Valtuuston hyväksymä talousarvio","","000")</f>
        <v>TOT</v>
      </c>
      <c r="Q34" s="86" t="str">
        <f xml:space="preserve"> _xll.EPMOlapMemberO(Q$24,"[VERSIO].[PARENTH1].[TOT]","Valtuuston hyväksymä talousarvio","","000")</f>
        <v>TOT</v>
      </c>
      <c r="R34" s="86" t="str">
        <f xml:space="preserve"> _xll.EPMOlapMemberO(R$24,"[VERSIO].[PARENTH1].[TOT]","Valtuuston hyväksymä talousarvio","","000")</f>
        <v>TOT</v>
      </c>
      <c r="S34" s="86" t="str">
        <f xml:space="preserve"> _xll.EPMOlapMemberO(S$24,"[VERSIO].[PARENTH1].[TOT]","Valtuuston hyväksymä talousarvio","","000")</f>
        <v>TOT</v>
      </c>
      <c r="T34" s="86" t="str">
        <f xml:space="preserve"> _xll.EPMOlapMemberO(S$24,"[VERSIO].[PARENTH1].[TOT]","Valtuuston hyväksymä talousarvio","","000")</f>
        <v>TOT</v>
      </c>
      <c r="U34" s="86" t="str">
        <f xml:space="preserve"> _xll.EPMOlapMemberO(U$24,"[VERSIO].[PARENTH1].[TOT]","Valtuuston hyväksymä talousarvio","","000")</f>
        <v>TOT</v>
      </c>
      <c r="V34" s="86" t="str">
        <f xml:space="preserve"> _xll.EPMOlapMemberO(U$24,"[VERSIO].[PARENTH1].[TOT]","Valtuuston hyväksymä talousarvio","","000")</f>
        <v>TOT</v>
      </c>
      <c r="W34" s="86" t="str">
        <f xml:space="preserve"> _xll.EPMOlapMemberO(U$24,"[VERSIO].[PARENTH1].[TOT]","Valtuuston hyväksymä talousarvio","","000")</f>
        <v>TOT</v>
      </c>
      <c r="X34" s="86" t="str">
        <f xml:space="preserve"> _xll.EPMOlapMemberO(U$24,"[VERSIO].[PARENTH1].[TOT]","Valtuuston hyväksymä talousarvio","","000")</f>
        <v>TOT</v>
      </c>
      <c r="Y34" s="86" t="str">
        <f xml:space="preserve"> _xll.EPMOlapMemberO(U$24,"[VERSIO].[PARENTH1].[TOT]","Valtuuston hyväksymä talousarvio","","000")</f>
        <v>TOT</v>
      </c>
      <c r="Z34" s="86" t="str">
        <f xml:space="preserve"> _xll.EPMOlapMemberO(U$24,"[VERSIO].[PARENTH1].[TOT]","Valtuuston hyväksymä talousarvio","","000")</f>
        <v>TOT</v>
      </c>
      <c r="AA34" s="86" t="str">
        <f xml:space="preserve"> _xll.EPMOlapMemberO(U$24,"[VERSIO].[PARENTH1].[TOT]","Valtuuston hyväksymä talousarvio","","000")</f>
        <v>TOT</v>
      </c>
    </row>
    <row r="35" spans="6:27" hidden="1" outlineLevel="1" x14ac:dyDescent="0.25">
      <c r="L35" s="86" t="str">
        <f xml:space="preserve"> _xll.FPMXLClient.TechnicalCategory.EPMLocalMember("Tili1","000","000")</f>
        <v>Tili1</v>
      </c>
      <c r="M35" s="86" t="str">
        <f xml:space="preserve"> _xll.FPMXLClient.TechnicalCategory.EPMLocalMember("Tili2","001","000")</f>
        <v>Tili2</v>
      </c>
      <c r="N35" s="86" t="str">
        <f xml:space="preserve"> _xll.FPMXLClient.TechnicalCategory.EPMLocalMember("CalcY","003","000")</f>
        <v>CalcY</v>
      </c>
      <c r="O35" s="86" t="str">
        <f xml:space="preserve"> _xll.FPMXLClient.TechnicalCategory.EPMLocalMember("TiliKuvaus","002","000")</f>
        <v>TiliKuvaus</v>
      </c>
      <c r="P35" s="86" t="str">
        <f xml:space="preserve"> _xll.EPMOlapMemberO(P$25,"[TYYPPI].[].[TOTMINUS1]","Viimevuoden toteuma","","000")</f>
        <v>TOTminus1</v>
      </c>
      <c r="Q35" s="86" t="str">
        <f xml:space="preserve"> _xll.EPMOlapMemberO(Q$25,"[TYYPPI].[].[TA]","Talousarvio kuluva vuosi","","000")</f>
        <v>TA</v>
      </c>
      <c r="R35" s="86" t="str">
        <f xml:space="preserve"> _xll.EPMOlapMemberO(R$25,"[TYYPPI].[].[TA_MUUTOS]","Talousarvion muutos","","000")</f>
        <v>TA_muutos</v>
      </c>
      <c r="S35" s="86" t="str">
        <f xml:space="preserve"> _xll.EPMOlapMemberO(S$25,"[TYYPPI].[].[TA_SIIRTO]","TA siirto","","000")</f>
        <v>TA_siirto</v>
      </c>
      <c r="T35" s="86" t="str">
        <f xml:space="preserve"> _xll.FPMXLClient.TechnicalCategory.EPMLocalMember("Tuloslaskelma yhteensä","021","000")</f>
        <v>Tuloslaskelma yhteensä</v>
      </c>
      <c r="U35" s="86" t="str">
        <f xml:space="preserve"> _xll.EPMOlapMemberO(U$25,"[TYYPPI].[].[TOT_1]","Kuluvan vuoden toteuma","","000")</f>
        <v>TOT_1</v>
      </c>
      <c r="V35" s="86" t="str">
        <f xml:space="preserve"> _xll.FPMXLClient.TechnicalCategory.EPMLocalMember("pkgetdata","023","000")</f>
        <v>pkgetdata</v>
      </c>
      <c r="W35" s="86" t="str">
        <f xml:space="preserve"> _xll.FPMXLClient.TechnicalCategory.EPMLocalMember("Oikaistu toteuma","022","000")</f>
        <v>Oikaistu toteuma</v>
      </c>
      <c r="X35" s="86" t="str">
        <f xml:space="preserve"> _xll.FPMXLClient.TechnicalCategory.EPMLocalMember("tot_enn_getdata","025","000")</f>
        <v>tot_enn_getdata</v>
      </c>
      <c r="Y35" s="86" t="str">
        <f xml:space="preserve"> _xll.FPMXLClient.TechnicalCategory.EPMLocalMember("Ero","024","000")</f>
        <v>Ero</v>
      </c>
      <c r="Z35" s="86" t="str">
        <f xml:space="preserve"> _xll.FPMXLClient.TechnicalCategory.EPMLocalMember("pksavedata","026","000")</f>
        <v>pksavedata</v>
      </c>
      <c r="AA35" s="86" t="str">
        <f xml:space="preserve"> _xll.FPMXLClient.TechnicalCategory.EPMLocalMember("tot_enn_savedata","027","000")</f>
        <v>tot_enn_savedata</v>
      </c>
    </row>
    <row r="36" spans="6:27" collapsed="1" x14ac:dyDescent="0.25">
      <c r="K36" s="86" t="str">
        <f xml:space="preserve"> _xll.EPMOlapMemberO("[Blank Member]","","","","000")</f>
        <v/>
      </c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</row>
    <row r="37" spans="6:27" x14ac:dyDescent="0.25">
      <c r="I37" s="89" t="s">
        <v>23</v>
      </c>
      <c r="K37" s="86" t="str">
        <f xml:space="preserve"> _xll.FPMXLClient.TechnicalCategory.EPMLocalMember("","008","000")</f>
        <v/>
      </c>
      <c r="L37" s="88"/>
      <c r="M37" s="88" t="str">
        <f t="shared" ref="M37:M100" si="1">IF(RIGHT(K37, 1)="A", MID(K37, 5, LEN(K37)-5), K37)</f>
        <v/>
      </c>
      <c r="N37" s="88" t="str">
        <f>_xll.EPMMemberProperty(, K37, "CALC")</f>
        <v/>
      </c>
      <c r="O37" s="89" t="str">
        <f>IF(I37="", _xll.EPMMemberDesc(K37), I37)</f>
        <v>TOIMINTATUOTOT</v>
      </c>
      <c r="P37" s="90"/>
      <c r="Q37" s="90"/>
      <c r="R37" s="90"/>
      <c r="S37" s="90"/>
      <c r="T37" s="90">
        <f t="shared" ref="T37:T100" si="2">Q37+R37+S37</f>
        <v>0</v>
      </c>
      <c r="U37" s="90"/>
      <c r="V37" s="90">
        <f>_xll.EPMRetrieveData(, $V$19, $V$20, $V$21, $V$22, $V$23, $V$24, $V$25, G37, $P$132)</f>
        <v>0</v>
      </c>
      <c r="W37" s="90">
        <f t="shared" ref="W37:W100" si="3">U37+V37</f>
        <v>0</v>
      </c>
      <c r="X37" s="90">
        <f>_xll.EPMRetrieveData(, $X$20, $X$21, $X$22, $X$23, $X$24, $X$25, G37, $P$132)</f>
        <v>0</v>
      </c>
      <c r="Y37" s="90">
        <f t="shared" ref="Y37:Y100" si="4">IF(F37="TA-ENN", T37-X37, X37-T37)</f>
        <v>0</v>
      </c>
      <c r="Z37" s="90" t="str">
        <f>IF(K37="", "", _xll.EPMSaveData(V37, , $Z$19, $Z$20, $Z$21, $Z$22, $Z$23, $Z$24, $Z$25, G37, $P$132))</f>
        <v/>
      </c>
      <c r="AA37" s="90" t="str">
        <f>IF(K37="", "", _xll.EPMSaveData(X37, , $AA$19, $AA$20, $AA$21, $AA$22, $AA$23, $AA$24, $AA$25, G37, $P$132))</f>
        <v/>
      </c>
    </row>
    <row r="38" spans="6:27" x14ac:dyDescent="0.25">
      <c r="I38" s="88" t="s">
        <v>100</v>
      </c>
      <c r="K38" s="86" t="str">
        <f xml:space="preserve"> _xll.FPMXLClient.TechnicalCategory.EPMLocalMember("","011","000")</f>
        <v/>
      </c>
      <c r="L38" s="88"/>
      <c r="M38" s="88" t="str">
        <f t="shared" si="1"/>
        <v/>
      </c>
      <c r="N38" s="88" t="str">
        <f>_xll.EPMMemberProperty(, K38, "CALC")</f>
        <v/>
      </c>
      <c r="O38" s="88" t="str">
        <f>IF(I38="", _xll.EPMMemberDesc(K38), I38)</f>
        <v/>
      </c>
      <c r="P38" s="90"/>
      <c r="Q38" s="90"/>
      <c r="R38" s="90"/>
      <c r="S38" s="90"/>
      <c r="T38" s="90">
        <f t="shared" si="2"/>
        <v>0</v>
      </c>
      <c r="U38" s="90"/>
      <c r="V38" s="90">
        <f>_xll.EPMRetrieveData(, $V$19, $V$20, $V$21, $V$22, $V$23, $V$24, $V$25, G38, $P$132)</f>
        <v>0</v>
      </c>
      <c r="W38" s="90">
        <f t="shared" si="3"/>
        <v>0</v>
      </c>
      <c r="X38" s="90">
        <f>_xll.EPMRetrieveData(, $X$20, $X$21, $X$22, $X$23, $X$24, $X$25, G38, $P$132)</f>
        <v>0</v>
      </c>
      <c r="Y38" s="90">
        <f t="shared" si="4"/>
        <v>0</v>
      </c>
      <c r="Z38" s="90" t="str">
        <f>IF(K38="", "", _xll.EPMSaveData(V38, , $Z$19, $Z$20, $Z$21, $Z$22, $Z$23, $Z$24, $Z$25, G38, $P$132))</f>
        <v/>
      </c>
      <c r="AA38" s="90" t="str">
        <f>IF(K38="", "", _xll.EPMSaveData(X38, , $AA$19, $AA$20, $AA$21, $AA$22, $AA$23, $AA$24, $AA$25, G38, $P$132))</f>
        <v/>
      </c>
    </row>
    <row r="39" spans="6:27" x14ac:dyDescent="0.25">
      <c r="F39" s="152" t="s">
        <v>233</v>
      </c>
      <c r="G39" s="91" t="s">
        <v>107</v>
      </c>
      <c r="I39" s="93" t="s">
        <v>72</v>
      </c>
      <c r="K39" s="137" t="str">
        <f xml:space="preserve"> _xll.EPMOlapMemberO("[TILI].[PARENTH1].[100030A]","","100030A","","000")</f>
        <v>100030A</v>
      </c>
      <c r="L39" s="92"/>
      <c r="M39" s="109" t="str">
        <f t="shared" si="1"/>
        <v>30</v>
      </c>
      <c r="N39" s="92" t="str">
        <f>_xll.EPMMemberProperty(, K39, "CALC")</f>
        <v>Y</v>
      </c>
      <c r="O39" s="93" t="str">
        <f>IF(I39="", _xll.EPMMemberDesc(K39), I39)</f>
        <v>Myyntituotot (300000-319999)</v>
      </c>
      <c r="P39" s="92"/>
      <c r="Q39" s="92"/>
      <c r="R39" s="92"/>
      <c r="S39" s="92"/>
      <c r="T39" s="92">
        <f t="shared" si="2"/>
        <v>0</v>
      </c>
      <c r="U39" s="92"/>
      <c r="V39" s="92">
        <f>_xll.EPMRetrieveData(, $V$19, $V$20, $V$21, $V$22, $V$23, $V$24, $V$25, G39, $P$132)</f>
        <v>0</v>
      </c>
      <c r="W39" s="92">
        <f t="shared" si="3"/>
        <v>0</v>
      </c>
      <c r="X39" s="92">
        <f>_xll.EPMRetrieveData(, $X$20, $X$21, $X$22, $X$23, $X$24, $X$25, G39, $P$132)</f>
        <v>0</v>
      </c>
      <c r="Y39" s="92">
        <f t="shared" si="4"/>
        <v>0</v>
      </c>
      <c r="Z39" s="88">
        <f>IF(K39="", "", _xll.EPMSaveData(V39, , $Z$19, $Z$20, $Z$21, $Z$22, $Z$23, $Z$24, $Z$25, G39, $P$132))</f>
        <v>0</v>
      </c>
      <c r="AA39" s="88">
        <f>IF(K39="", "", _xll.EPMSaveData(X39, , $AA$19, $AA$20, $AA$21, $AA$22, $AA$23, $AA$24, $AA$25, G39, $P$132))</f>
        <v>0</v>
      </c>
    </row>
    <row r="40" spans="6:27" x14ac:dyDescent="0.25">
      <c r="F40" s="152" t="s">
        <v>233</v>
      </c>
      <c r="G40" s="91" t="s">
        <v>106</v>
      </c>
      <c r="I40" s="96" t="s">
        <v>162</v>
      </c>
      <c r="K40" s="139" t="str">
        <f xml:space="preserve"> _xll.EPMOlapMemberO("[TILI].[PARENTH1].[1000300A]","","1000300A","","000")</f>
        <v>1000300A</v>
      </c>
      <c r="L40" s="94"/>
      <c r="M40" s="95" t="str">
        <f t="shared" si="1"/>
        <v>300</v>
      </c>
      <c r="N40" s="94" t="str">
        <f>_xll.EPMMemberProperty(, K40, "CALC")</f>
        <v>Y</v>
      </c>
      <c r="O40" s="96" t="str">
        <f>IF(I40="", _xll.EPMMemberDesc(K40), I40)</f>
        <v>Liiketoiminnan myyntituotot</v>
      </c>
      <c r="P40" s="94"/>
      <c r="Q40" s="94"/>
      <c r="R40" s="94"/>
      <c r="S40" s="94"/>
      <c r="T40" s="94">
        <f t="shared" si="2"/>
        <v>0</v>
      </c>
      <c r="U40" s="110"/>
      <c r="V40" s="113">
        <f>_xll.EPMRetrieveData(, $V$19, $V$20, $V$21, $V$22, $V$23, $V$24, $V$25, G40, $P$132)</f>
        <v>0</v>
      </c>
      <c r="W40" s="116">
        <f t="shared" si="3"/>
        <v>0</v>
      </c>
      <c r="X40" s="113">
        <f>_xll.EPMRetrieveData(, $X$20, $X$21, $X$22, $X$23, $X$24, $X$25, G40, $P$132)</f>
        <v>0</v>
      </c>
      <c r="Y40" s="94">
        <f t="shared" si="4"/>
        <v>0</v>
      </c>
      <c r="Z40" s="94">
        <f>IF(K40="", "", _xll.EPMSaveData(V40, , $Z$19, $Z$20, $Z$21, $Z$22, $Z$23, $Z$24, $Z$25, G40, $P$132))</f>
        <v>0</v>
      </c>
      <c r="AA40" s="94">
        <f>IF(K40="", "", _xll.EPMSaveData(X40, , $AA$19, $AA$20, $AA$21, $AA$22, $AA$23, $AA$24, $AA$25, G40, $P$132))</f>
        <v>0</v>
      </c>
    </row>
    <row r="41" spans="6:27" x14ac:dyDescent="0.25">
      <c r="F41" s="152" t="s">
        <v>233</v>
      </c>
      <c r="G41" s="91" t="s">
        <v>108</v>
      </c>
      <c r="I41" s="96" t="s">
        <v>163</v>
      </c>
      <c r="K41" s="139" t="str">
        <f xml:space="preserve"> _xll.EPMOlapMemberO("[TILI].[PARENTH1].[1000308A]","","1000308A","","000")</f>
        <v>1000308A</v>
      </c>
      <c r="L41" s="94"/>
      <c r="M41" s="95" t="str">
        <f t="shared" si="1"/>
        <v>308</v>
      </c>
      <c r="N41" s="94" t="str">
        <f>_xll.EPMMemberProperty(, K41, "CALC")</f>
        <v>Y</v>
      </c>
      <c r="O41" s="96" t="str">
        <f>IF(I41="", _xll.EPMMemberDesc(K41), I41)</f>
        <v>Täyden korv.perust.saadut korv.valtiolta</v>
      </c>
      <c r="P41" s="94"/>
      <c r="Q41" s="94"/>
      <c r="R41" s="94"/>
      <c r="S41" s="94"/>
      <c r="T41" s="94">
        <f t="shared" si="2"/>
        <v>0</v>
      </c>
      <c r="U41" s="112"/>
      <c r="V41" s="114">
        <f>_xll.EPMRetrieveData(, $V$19, $V$20, $V$21, $V$22, $V$23, $V$24, $V$25, G41, $P$132)</f>
        <v>0</v>
      </c>
      <c r="W41" s="115">
        <f t="shared" si="3"/>
        <v>0</v>
      </c>
      <c r="X41" s="114">
        <f>_xll.EPMRetrieveData(, $X$20, $X$21, $X$22, $X$23, $X$24, $X$25, G41, $P$132)</f>
        <v>0</v>
      </c>
      <c r="Y41" s="94">
        <f t="shared" si="4"/>
        <v>0</v>
      </c>
      <c r="Z41" s="94">
        <f>IF(K41="", "", _xll.EPMSaveData(V41, , $Z$19, $Z$20, $Z$21, $Z$22, $Z$23, $Z$24, $Z$25, G41, $P$132))</f>
        <v>0</v>
      </c>
      <c r="AA41" s="94">
        <f>IF(K41="", "", _xll.EPMSaveData(X41, , $AA$19, $AA$20, $AA$21, $AA$22, $AA$23, $AA$24, $AA$25, G41, $P$132))</f>
        <v>0</v>
      </c>
    </row>
    <row r="42" spans="6:27" x14ac:dyDescent="0.25">
      <c r="F42" s="152" t="s">
        <v>233</v>
      </c>
      <c r="G42" s="149" t="s">
        <v>110</v>
      </c>
      <c r="I42" s="96" t="s">
        <v>164</v>
      </c>
      <c r="K42" s="139" t="str">
        <f xml:space="preserve"> _xll.EPMOlapMemberO("[TILI].[PARENTH1].[1000310A]","","1000310A","","000")</f>
        <v>1000310A</v>
      </c>
      <c r="L42" s="94"/>
      <c r="M42" s="95" t="str">
        <f t="shared" si="1"/>
        <v>310</v>
      </c>
      <c r="N42" s="94" t="str">
        <f>_xll.EPMMemberProperty(, K42, "CALC")</f>
        <v>Y</v>
      </c>
      <c r="O42" s="96" t="str">
        <f>IF(I42="", _xll.EPMMemberDesc(K42), I42)</f>
        <v>Korvaukset kunnilta ja kuntayhtymiltä</v>
      </c>
      <c r="P42" s="94"/>
      <c r="Q42" s="94"/>
      <c r="R42" s="94"/>
      <c r="S42" s="94"/>
      <c r="T42" s="94">
        <f t="shared" si="2"/>
        <v>0</v>
      </c>
      <c r="U42" s="112"/>
      <c r="V42" s="114">
        <f>_xll.EPMRetrieveData(, $V$19, $V$20, $V$21, $V$22, $V$23, $V$24, $V$25, G42, $P$132)</f>
        <v>0</v>
      </c>
      <c r="W42" s="115">
        <f t="shared" si="3"/>
        <v>0</v>
      </c>
      <c r="X42" s="114">
        <f>_xll.EPMRetrieveData(, $X$20, $X$21, $X$22, $X$23, $X$24, $X$25, G42, $P$132)</f>
        <v>0</v>
      </c>
      <c r="Y42" s="94">
        <f t="shared" si="4"/>
        <v>0</v>
      </c>
      <c r="Z42" s="94">
        <f>IF(K42="", "", _xll.EPMSaveData(V42, , $Z$19, $Z$20, $Z$21, $Z$22, $Z$23, $Z$24, $Z$25, G42, $P$132))</f>
        <v>0</v>
      </c>
      <c r="AA42" s="94">
        <f>IF(K42="", "", _xll.EPMSaveData(X42, , $AA$19, $AA$20, $AA$21, $AA$22, $AA$23, $AA$24, $AA$25, G42, $P$132))</f>
        <v>0</v>
      </c>
    </row>
    <row r="43" spans="6:27" x14ac:dyDescent="0.25">
      <c r="F43" s="152" t="s">
        <v>233</v>
      </c>
      <c r="G43" s="149" t="s">
        <v>109</v>
      </c>
      <c r="I43" s="96" t="s">
        <v>165</v>
      </c>
      <c r="K43" s="139" t="str">
        <f xml:space="preserve"> _xll.EPMOlapMemberO("[TILI].[PARENTH1].[1000313A]","","1000313A","","000")</f>
        <v>1000313A</v>
      </c>
      <c r="L43" s="94"/>
      <c r="M43" s="95" t="str">
        <f t="shared" si="1"/>
        <v>313</v>
      </c>
      <c r="N43" s="94" t="str">
        <f>_xll.EPMMemberProperty(, K43, "CALC")</f>
        <v>Y</v>
      </c>
      <c r="O43" s="96" t="str">
        <f>IF(I43="", _xll.EPMMemberDesc(K43), I43)</f>
        <v>Muut suoritteiden myyntituotot</v>
      </c>
      <c r="P43" s="94"/>
      <c r="Q43" s="94"/>
      <c r="R43" s="94"/>
      <c r="S43" s="94"/>
      <c r="T43" s="94">
        <f t="shared" si="2"/>
        <v>0</v>
      </c>
      <c r="U43" s="112"/>
      <c r="V43" s="114">
        <f>_xll.EPMRetrieveData(, $V$19, $V$20, $V$21, $V$22, $V$23, $V$24, $V$25, G43, $P$132)</f>
        <v>0</v>
      </c>
      <c r="W43" s="115">
        <f t="shared" si="3"/>
        <v>0</v>
      </c>
      <c r="X43" s="114">
        <f>_xll.EPMRetrieveData(, $X$20, $X$21, $X$22, $X$23, $X$24, $X$25, G43, $P$132)</f>
        <v>0</v>
      </c>
      <c r="Y43" s="94">
        <f t="shared" si="4"/>
        <v>0</v>
      </c>
      <c r="Z43" s="94">
        <f>IF(K43="", "", _xll.EPMSaveData(V43, , $Z$19, $Z$20, $Z$21, $Z$22, $Z$23, $Z$24, $Z$25, G43, $P$132))</f>
        <v>0</v>
      </c>
      <c r="AA43" s="94">
        <f>IF(K43="", "", _xll.EPMSaveData(X43, , $AA$19, $AA$20, $AA$21, $AA$22, $AA$23, $AA$24, $AA$25, G43, $P$132))</f>
        <v>0</v>
      </c>
    </row>
    <row r="44" spans="6:27" x14ac:dyDescent="0.25">
      <c r="F44" s="152" t="s">
        <v>233</v>
      </c>
      <c r="G44" s="91" t="s">
        <v>111</v>
      </c>
      <c r="I44" s="93" t="s">
        <v>24</v>
      </c>
      <c r="K44" s="137" t="str">
        <f xml:space="preserve"> _xll.EPMOlapMemberO("[TILI].[PARENTH1].[100032A]","","100032A","","000")</f>
        <v>100032A</v>
      </c>
      <c r="L44" s="92"/>
      <c r="M44" s="109" t="str">
        <f t="shared" si="1"/>
        <v>32</v>
      </c>
      <c r="N44" s="92" t="str">
        <f>_xll.EPMMemberProperty(, K44, "CALC")</f>
        <v>Y</v>
      </c>
      <c r="O44" s="93" t="str">
        <f>IF(I44="", _xll.EPMMemberDesc(K44), I44)</f>
        <v>Maksutuotot (329999-329999)</v>
      </c>
      <c r="P44" s="92"/>
      <c r="Q44" s="92"/>
      <c r="R44" s="92"/>
      <c r="S44" s="92"/>
      <c r="T44" s="92">
        <f t="shared" si="2"/>
        <v>0</v>
      </c>
      <c r="U44" s="92"/>
      <c r="V44" s="92">
        <f>_xll.EPMRetrieveData(, $V$19, $V$20, $V$21, $V$22, $V$23, $V$24, $V$25, G44, $P$132)</f>
        <v>0</v>
      </c>
      <c r="W44" s="92">
        <f t="shared" si="3"/>
        <v>0</v>
      </c>
      <c r="X44" s="88">
        <f>_xll.EPMRetrieveData(, $X$20, $X$21, $X$22, $X$23, $X$24, $X$25, G44, $P$132)</f>
        <v>0</v>
      </c>
      <c r="Y44" s="92">
        <f t="shared" si="4"/>
        <v>0</v>
      </c>
      <c r="Z44" s="88">
        <f>IF(K44="", "", _xll.EPMSaveData(V44, , $Z$19, $Z$20, $Z$21, $Z$22, $Z$23, $Z$24, $Z$25, G44, $P$132))</f>
        <v>0</v>
      </c>
      <c r="AA44" s="88">
        <f>IF(K44="", "", _xll.EPMSaveData(X44, , $AA$19, $AA$20, $AA$21, $AA$22, $AA$23, $AA$24, $AA$25, G44, $P$132))</f>
        <v>0</v>
      </c>
    </row>
    <row r="45" spans="6:27" x14ac:dyDescent="0.25">
      <c r="F45" s="152" t="s">
        <v>233</v>
      </c>
      <c r="G45" s="91" t="s">
        <v>112</v>
      </c>
      <c r="I45" s="96" t="s">
        <v>166</v>
      </c>
      <c r="K45" s="139" t="str">
        <f xml:space="preserve"> _xll.EPMOlapMemberO("[TILI].[PARENTH1].[1000320A]","","1000320A","","000")</f>
        <v>1000320A</v>
      </c>
      <c r="L45" s="94"/>
      <c r="M45" s="95" t="str">
        <f t="shared" si="1"/>
        <v>320</v>
      </c>
      <c r="N45" s="94" t="str">
        <f>_xll.EPMMemberProperty(, K45, "CALC")</f>
        <v>Y</v>
      </c>
      <c r="O45" s="96" t="str">
        <f>IF(I45="", _xll.EPMMemberDesc(K45), I45)</f>
        <v>Yleishallinnon maksut</v>
      </c>
      <c r="P45" s="94"/>
      <c r="Q45" s="94"/>
      <c r="R45" s="94"/>
      <c r="S45" s="94"/>
      <c r="T45" s="94">
        <f t="shared" si="2"/>
        <v>0</v>
      </c>
      <c r="U45" s="110"/>
      <c r="V45" s="117">
        <f>_xll.EPMRetrieveData(, $V$19, $V$20, $V$21, $V$22, $V$23, $V$24, $V$25, G45, $P$132)</f>
        <v>0</v>
      </c>
      <c r="W45" s="94">
        <f t="shared" si="3"/>
        <v>0</v>
      </c>
      <c r="X45" s="114">
        <f>_xll.EPMRetrieveData(, $X$20, $X$21, $X$22, $X$23, $X$24, $X$25, G45, $P$132)</f>
        <v>0</v>
      </c>
      <c r="Y45" s="94">
        <f t="shared" si="4"/>
        <v>0</v>
      </c>
      <c r="Z45" s="94">
        <f>IF(K45="", "", _xll.EPMSaveData(V45, , $Z$19, $Z$20, $Z$21, $Z$22, $Z$23, $Z$24, $Z$25, G45, $P$132))</f>
        <v>0</v>
      </c>
      <c r="AA45" s="94">
        <f>IF(K45="", "", _xll.EPMSaveData(X45, , $AA$19, $AA$20, $AA$21, $AA$22, $AA$23, $AA$24, $AA$25, G45, $P$132))</f>
        <v>0</v>
      </c>
    </row>
    <row r="46" spans="6:27" x14ac:dyDescent="0.25">
      <c r="F46" s="152" t="s">
        <v>233</v>
      </c>
      <c r="G46" s="91" t="s">
        <v>113</v>
      </c>
      <c r="I46" s="96" t="s">
        <v>167</v>
      </c>
      <c r="K46" s="139" t="str">
        <f xml:space="preserve"> _xll.EPMOlapMemberO("[TILI].[PARENTH1].[1000321A]","","1000321A","","000")</f>
        <v>1000321A</v>
      </c>
      <c r="L46" s="94"/>
      <c r="M46" s="95" t="str">
        <f t="shared" si="1"/>
        <v>321</v>
      </c>
      <c r="N46" s="94" t="str">
        <f>_xll.EPMMemberProperty(, K46, "CALC")</f>
        <v>Y</v>
      </c>
      <c r="O46" s="96" t="str">
        <f>IF(I46="", _xll.EPMMemberDesc(K46), I46)</f>
        <v>Terveydenhuollon maksut</v>
      </c>
      <c r="P46" s="94"/>
      <c r="Q46" s="94"/>
      <c r="R46" s="94"/>
      <c r="S46" s="94"/>
      <c r="T46" s="94">
        <f t="shared" si="2"/>
        <v>0</v>
      </c>
      <c r="U46" s="112"/>
      <c r="V46" s="118">
        <f>_xll.EPMRetrieveData(, $V$19, $V$20, $V$21, $V$22, $V$23, $V$24, $V$25, G46, $P$132)</f>
        <v>0</v>
      </c>
      <c r="W46" s="94">
        <f t="shared" si="3"/>
        <v>0</v>
      </c>
      <c r="X46" s="114">
        <f>_xll.EPMRetrieveData(, $X$20, $X$21, $X$22, $X$23, $X$24, $X$25, G46, $P$132)</f>
        <v>0</v>
      </c>
      <c r="Y46" s="94">
        <f t="shared" si="4"/>
        <v>0</v>
      </c>
      <c r="Z46" s="94">
        <f>IF(K46="", "", _xll.EPMSaveData(V46, , $Z$19, $Z$20, $Z$21, $Z$22, $Z$23, $Z$24, $Z$25, G46, $P$132))</f>
        <v>0</v>
      </c>
      <c r="AA46" s="94">
        <f>IF(K46="", "", _xll.EPMSaveData(X46, , $AA$19, $AA$20, $AA$21, $AA$22, $AA$23, $AA$24, $AA$25, G46, $P$132))</f>
        <v>0</v>
      </c>
    </row>
    <row r="47" spans="6:27" x14ac:dyDescent="0.25">
      <c r="F47" s="152" t="s">
        <v>233</v>
      </c>
      <c r="G47" s="91" t="s">
        <v>114</v>
      </c>
      <c r="I47" s="96" t="s">
        <v>168</v>
      </c>
      <c r="K47" s="139" t="str">
        <f xml:space="preserve"> _xll.EPMOlapMemberO("[TILI].[PARENTH1].[1000325A]","","1000325A","","000")</f>
        <v>1000325A</v>
      </c>
      <c r="L47" s="94"/>
      <c r="M47" s="95" t="str">
        <f t="shared" si="1"/>
        <v>325</v>
      </c>
      <c r="N47" s="94" t="str">
        <f>_xll.EPMMemberProperty(, K47, "CALC")</f>
        <v>Y</v>
      </c>
      <c r="O47" s="96" t="str">
        <f>IF(I47="", _xll.EPMMemberDesc(K47), I47)</f>
        <v>Sosiaalitoimen maksut</v>
      </c>
      <c r="P47" s="94"/>
      <c r="Q47" s="94"/>
      <c r="R47" s="94"/>
      <c r="S47" s="94"/>
      <c r="T47" s="94">
        <f t="shared" si="2"/>
        <v>0</v>
      </c>
      <c r="U47" s="112"/>
      <c r="V47" s="118">
        <f>_xll.EPMRetrieveData(, $V$19, $V$20, $V$21, $V$22, $V$23, $V$24, $V$25, G47, $P$132)</f>
        <v>0</v>
      </c>
      <c r="W47" s="94">
        <f t="shared" si="3"/>
        <v>0</v>
      </c>
      <c r="X47" s="114">
        <f>_xll.EPMRetrieveData(, $X$20, $X$21, $X$22, $X$23, $X$24, $X$25, G47, $P$132)</f>
        <v>0</v>
      </c>
      <c r="Y47" s="94">
        <f t="shared" si="4"/>
        <v>0</v>
      </c>
      <c r="Z47" s="94">
        <f>IF(K47="", "", _xll.EPMSaveData(V47, , $Z$19, $Z$20, $Z$21, $Z$22, $Z$23, $Z$24, $Z$25, G47, $P$132))</f>
        <v>0</v>
      </c>
      <c r="AA47" s="94">
        <f>IF(K47="", "", _xll.EPMSaveData(X47, , $AA$19, $AA$20, $AA$21, $AA$22, $AA$23, $AA$24, $AA$25, G47, $P$132))</f>
        <v>0</v>
      </c>
    </row>
    <row r="48" spans="6:27" x14ac:dyDescent="0.25">
      <c r="F48" s="152" t="s">
        <v>233</v>
      </c>
      <c r="G48" s="91" t="s">
        <v>115</v>
      </c>
      <c r="I48" s="96" t="s">
        <v>169</v>
      </c>
      <c r="K48" s="139" t="str">
        <f xml:space="preserve"> _xll.EPMOlapMemberO("[TILI].[PARENTH1].[1000327A]","","1000327A","","000")</f>
        <v>1000327A</v>
      </c>
      <c r="L48" s="94"/>
      <c r="M48" s="95" t="str">
        <f t="shared" si="1"/>
        <v>327</v>
      </c>
      <c r="N48" s="94" t="str">
        <f>_xll.EPMMemberProperty(, K48, "CALC")</f>
        <v>Y</v>
      </c>
      <c r="O48" s="96" t="str">
        <f>IF(I48="", _xll.EPMMemberDesc(K48), I48)</f>
        <v>Opetus- ja kulttuuritoimen maksut</v>
      </c>
      <c r="P48" s="94"/>
      <c r="Q48" s="94"/>
      <c r="R48" s="94"/>
      <c r="S48" s="94"/>
      <c r="T48" s="94">
        <f t="shared" si="2"/>
        <v>0</v>
      </c>
      <c r="U48" s="112"/>
      <c r="V48" s="118">
        <f>_xll.EPMRetrieveData(, $V$19, $V$20, $V$21, $V$22, $V$23, $V$24, $V$25, G48, $P$132)</f>
        <v>0</v>
      </c>
      <c r="W48" s="94">
        <f t="shared" si="3"/>
        <v>0</v>
      </c>
      <c r="X48" s="114">
        <f>_xll.EPMRetrieveData(, $X$20, $X$21, $X$22, $X$23, $X$24, $X$25, G48, $P$132)</f>
        <v>0</v>
      </c>
      <c r="Y48" s="94">
        <f t="shared" si="4"/>
        <v>0</v>
      </c>
      <c r="Z48" s="94">
        <f>IF(K48="", "", _xll.EPMSaveData(V48, , $Z$19, $Z$20, $Z$21, $Z$22, $Z$23, $Z$24, $Z$25, G48, $P$132))</f>
        <v>0</v>
      </c>
      <c r="AA48" s="94">
        <f>IF(K48="", "", _xll.EPMSaveData(X48, , $AA$19, $AA$20, $AA$21, $AA$22, $AA$23, $AA$24, $AA$25, G48, $P$132))</f>
        <v>0</v>
      </c>
    </row>
    <row r="49" spans="6:27" x14ac:dyDescent="0.25">
      <c r="F49" s="152" t="s">
        <v>233</v>
      </c>
      <c r="G49" s="91" t="s">
        <v>116</v>
      </c>
      <c r="I49" s="96" t="s">
        <v>170</v>
      </c>
      <c r="K49" s="139" t="str">
        <f xml:space="preserve"> _xll.EPMOlapMemberO("[TILI].[PARENTH1].[1000328A]","","1000328A","","000")</f>
        <v>1000328A</v>
      </c>
      <c r="L49" s="94"/>
      <c r="M49" s="95" t="str">
        <f t="shared" si="1"/>
        <v>328</v>
      </c>
      <c r="N49" s="94" t="str">
        <f>_xll.EPMMemberProperty(, K49, "CALC")</f>
        <v>Y</v>
      </c>
      <c r="O49" s="96" t="str">
        <f>IF(I49="", _xll.EPMMemberDesc(K49), I49)</f>
        <v>Yhdyskuntapalvelujen maksut</v>
      </c>
      <c r="P49" s="94"/>
      <c r="Q49" s="94"/>
      <c r="R49" s="94"/>
      <c r="S49" s="94"/>
      <c r="T49" s="94">
        <f t="shared" si="2"/>
        <v>0</v>
      </c>
      <c r="U49" s="112"/>
      <c r="V49" s="111">
        <f>_xll.EPMRetrieveData(, $V$19, $V$20, $V$21, $V$22, $V$23, $V$24, $V$25, G49, $P$132)</f>
        <v>0</v>
      </c>
      <c r="W49" s="94">
        <f t="shared" si="3"/>
        <v>0</v>
      </c>
      <c r="X49" s="114">
        <f>_xll.EPMRetrieveData(, $X$20, $X$21, $X$22, $X$23, $X$24, $X$25, G49, $P$132)</f>
        <v>0</v>
      </c>
      <c r="Y49" s="94">
        <f t="shared" si="4"/>
        <v>0</v>
      </c>
      <c r="Z49" s="94">
        <f>IF(K49="", "", _xll.EPMSaveData(V49, , $Z$19, $Z$20, $Z$21, $Z$22, $Z$23, $Z$24, $Z$25, G49, $P$132))</f>
        <v>0</v>
      </c>
      <c r="AA49" s="94">
        <f>IF(K49="", "", _xll.EPMSaveData(X49, , $AA$19, $AA$20, $AA$21, $AA$22, $AA$23, $AA$24, $AA$25, G49, $P$132))</f>
        <v>0</v>
      </c>
    </row>
    <row r="50" spans="6:27" x14ac:dyDescent="0.25">
      <c r="F50" s="152" t="s">
        <v>233</v>
      </c>
      <c r="G50" s="91" t="s">
        <v>117</v>
      </c>
      <c r="I50" s="96" t="s">
        <v>171</v>
      </c>
      <c r="K50" s="139" t="str">
        <f xml:space="preserve"> _xll.EPMOlapMemberO("[TILI].[PARENTH1].[1000329A]","","1000329A","","000")</f>
        <v>1000329A</v>
      </c>
      <c r="L50" s="94"/>
      <c r="M50" s="95" t="str">
        <f t="shared" si="1"/>
        <v>329</v>
      </c>
      <c r="N50" s="94" t="str">
        <f>_xll.EPMMemberProperty(, K50, "CALC")</f>
        <v>Y</v>
      </c>
      <c r="O50" s="96" t="str">
        <f>IF(I50="", _xll.EPMMemberDesc(K50), I50)</f>
        <v>Muut palvelumaksut</v>
      </c>
      <c r="P50" s="94"/>
      <c r="Q50" s="94"/>
      <c r="R50" s="94"/>
      <c r="S50" s="94"/>
      <c r="T50" s="94">
        <f t="shared" si="2"/>
        <v>0</v>
      </c>
      <c r="U50" s="112"/>
      <c r="V50" s="111">
        <f>_xll.EPMRetrieveData(, $V$19, $V$20, $V$21, $V$22, $V$23, $V$24, $V$25, G50, $P$132)</f>
        <v>0</v>
      </c>
      <c r="W50" s="94">
        <f t="shared" si="3"/>
        <v>0</v>
      </c>
      <c r="X50" s="114">
        <f>_xll.EPMRetrieveData(, $X$20, $X$21, $X$22, $X$23, $X$24, $X$25, G50, $P$132)</f>
        <v>0</v>
      </c>
      <c r="Y50" s="94">
        <f t="shared" si="4"/>
        <v>0</v>
      </c>
      <c r="Z50" s="94">
        <f>IF(K50="", "", _xll.EPMSaveData(V50, , $Z$19, $Z$20, $Z$21, $Z$22, $Z$23, $Z$24, $Z$25, G50, $P$132))</f>
        <v>0</v>
      </c>
      <c r="AA50" s="94">
        <f>IF(K50="", "", _xll.EPMSaveData(X50, , $AA$19, $AA$20, $AA$21, $AA$22, $AA$23, $AA$24, $AA$25, G50, $P$132))</f>
        <v>0</v>
      </c>
    </row>
    <row r="51" spans="6:27" x14ac:dyDescent="0.25">
      <c r="F51" s="152" t="s">
        <v>233</v>
      </c>
      <c r="G51" s="91" t="s">
        <v>118</v>
      </c>
      <c r="I51" s="93" t="s">
        <v>25</v>
      </c>
      <c r="K51" s="137" t="str">
        <f xml:space="preserve"> _xll.EPMOlapMemberO("[TILI].[PARENTH1].[100033A]","","100033A","","000")</f>
        <v>100033A</v>
      </c>
      <c r="L51" s="92"/>
      <c r="M51" s="109" t="str">
        <f t="shared" si="1"/>
        <v>33</v>
      </c>
      <c r="N51" s="92" t="str">
        <f>_xll.EPMMemberProperty(, K51, "CALC")</f>
        <v>Y</v>
      </c>
      <c r="O51" s="93" t="str">
        <f>IF(I51="", _xll.EPMMemberDesc(K51), I51)</f>
        <v>Tuet ja avustukset (330000-339999)</v>
      </c>
      <c r="P51" s="92"/>
      <c r="Q51" s="92"/>
      <c r="R51" s="92"/>
      <c r="S51" s="92"/>
      <c r="T51" s="92">
        <f t="shared" si="2"/>
        <v>0</v>
      </c>
      <c r="U51" s="92"/>
      <c r="V51" s="92">
        <f>_xll.EPMRetrieveData(, $V$19, $V$20, $V$21, $V$22, $V$23, $V$24, $V$25, G51, $P$132)</f>
        <v>0</v>
      </c>
      <c r="W51" s="92">
        <f t="shared" si="3"/>
        <v>0</v>
      </c>
      <c r="X51" s="92">
        <f>_xll.EPMRetrieveData(, $X$20, $X$21, $X$22, $X$23, $X$24, $X$25, G51, $P$132)</f>
        <v>0</v>
      </c>
      <c r="Y51" s="92">
        <f t="shared" si="4"/>
        <v>0</v>
      </c>
      <c r="Z51" s="88">
        <f>IF(K51="", "", _xll.EPMSaveData(V51, , $Z$19, $Z$20, $Z$21, $Z$22, $Z$23, $Z$24, $Z$25, G51, $P$132))</f>
        <v>0</v>
      </c>
      <c r="AA51" s="88">
        <f>IF(K51="", "", _xll.EPMSaveData(X51, , $AA$19, $AA$20, $AA$21, $AA$22, $AA$23, $AA$24, $AA$25, G51, $P$132))</f>
        <v>0</v>
      </c>
    </row>
    <row r="52" spans="6:27" x14ac:dyDescent="0.25">
      <c r="F52" s="152" t="s">
        <v>233</v>
      </c>
      <c r="G52" s="91" t="s">
        <v>119</v>
      </c>
      <c r="I52" s="96" t="s">
        <v>172</v>
      </c>
      <c r="K52" s="139" t="str">
        <f xml:space="preserve"> _xll.EPMOlapMemberO("[TILI].[PARENTH1].[1000330A]","","1000330A","","000")</f>
        <v>1000330A</v>
      </c>
      <c r="L52" s="94"/>
      <c r="M52" s="95" t="str">
        <f t="shared" si="1"/>
        <v>330</v>
      </c>
      <c r="N52" s="94" t="str">
        <f>_xll.EPMMemberProperty(, K52, "CALC")</f>
        <v>Y</v>
      </c>
      <c r="O52" s="96" t="str">
        <f>IF(I52="", _xll.EPMMemberDesc(K52), I52)</f>
        <v>Tuet ja avustukset</v>
      </c>
      <c r="P52" s="94"/>
      <c r="Q52" s="94"/>
      <c r="R52" s="94"/>
      <c r="S52" s="94"/>
      <c r="T52" s="94">
        <f t="shared" si="2"/>
        <v>0</v>
      </c>
      <c r="U52" s="110"/>
      <c r="V52" s="113">
        <f>_xll.EPMRetrieveData(, $V$19, $V$20, $V$21, $V$22, $V$23, $V$24, $V$25, G52, $P$132)</f>
        <v>0</v>
      </c>
      <c r="W52" s="116">
        <f t="shared" si="3"/>
        <v>0</v>
      </c>
      <c r="X52" s="113">
        <f>_xll.EPMRetrieveData(, $X$20, $X$21, $X$22, $X$23, $X$24, $X$25, G52, $P$132)</f>
        <v>0</v>
      </c>
      <c r="Y52" s="94">
        <f t="shared" si="4"/>
        <v>0</v>
      </c>
      <c r="Z52" s="94">
        <f>IF(K52="", "", _xll.EPMSaveData(V52, , $Z$19, $Z$20, $Z$21, $Z$22, $Z$23, $Z$24, $Z$25, G52, $P$132))</f>
        <v>0</v>
      </c>
      <c r="AA52" s="94">
        <f>IF(K52="", "", _xll.EPMSaveData(X52, , $AA$19, $AA$20, $AA$21, $AA$22, $AA$23, $AA$24, $AA$25, G52, $P$132))</f>
        <v>0</v>
      </c>
    </row>
    <row r="53" spans="6:27" x14ac:dyDescent="0.25">
      <c r="F53" s="152" t="s">
        <v>233</v>
      </c>
      <c r="G53" s="91" t="s">
        <v>120</v>
      </c>
      <c r="I53" s="93" t="s">
        <v>26</v>
      </c>
      <c r="K53" s="137" t="str">
        <f xml:space="preserve"> _xll.EPMOlapMemberO("[TILI].[PARENTH1].[100034A]","","100034A","","000")</f>
        <v>100034A</v>
      </c>
      <c r="L53" s="92"/>
      <c r="M53" s="109" t="str">
        <f t="shared" si="1"/>
        <v>34</v>
      </c>
      <c r="N53" s="92" t="str">
        <f>_xll.EPMMemberProperty(, K53, "CALC")</f>
        <v>Y</v>
      </c>
      <c r="O53" s="93" t="str">
        <f>IF(I53="", _xll.EPMMemberDesc(K53), I53)</f>
        <v>Vuokratuotot (340000-349999)</v>
      </c>
      <c r="P53" s="92"/>
      <c r="Q53" s="92"/>
      <c r="R53" s="92"/>
      <c r="S53" s="92"/>
      <c r="T53" s="92">
        <f t="shared" si="2"/>
        <v>0</v>
      </c>
      <c r="U53" s="92"/>
      <c r="V53" s="120">
        <f>_xll.EPMRetrieveData(, $V$19, $V$20, $V$21, $V$22, $V$23, $V$24, $V$25, G53, $P$132)</f>
        <v>0</v>
      </c>
      <c r="W53" s="92">
        <f t="shared" si="3"/>
        <v>0</v>
      </c>
      <c r="X53" s="92">
        <f>_xll.EPMRetrieveData(, $X$20, $X$21, $X$22, $X$23, $X$24, $X$25, G53, $P$132)</f>
        <v>0</v>
      </c>
      <c r="Y53" s="92">
        <f t="shared" si="4"/>
        <v>0</v>
      </c>
      <c r="Z53" s="88">
        <f>IF(K53="", "", _xll.EPMSaveData(V53, , $Z$19, $Z$20, $Z$21, $Z$22, $Z$23, $Z$24, $Z$25, G53, $P$132))</f>
        <v>0</v>
      </c>
      <c r="AA53" s="88">
        <f>IF(K53="", "", _xll.EPMSaveData(X53, , $AA$19, $AA$20, $AA$21, $AA$22, $AA$23, $AA$24, $AA$25, G53, $P$132))</f>
        <v>0</v>
      </c>
    </row>
    <row r="54" spans="6:27" x14ac:dyDescent="0.25">
      <c r="F54" s="152" t="s">
        <v>233</v>
      </c>
      <c r="G54" s="91" t="s">
        <v>121</v>
      </c>
      <c r="I54" s="96" t="s">
        <v>173</v>
      </c>
      <c r="K54" s="139" t="str">
        <f xml:space="preserve"> _xll.EPMOlapMemberO("[TILI].[PARENTH1].[1000340A]","","1000340A","","000")</f>
        <v>1000340A</v>
      </c>
      <c r="L54" s="94"/>
      <c r="M54" s="95" t="str">
        <f t="shared" si="1"/>
        <v>340</v>
      </c>
      <c r="N54" s="94" t="str">
        <f>_xll.EPMMemberProperty(, K54, "CALC")</f>
        <v>Y</v>
      </c>
      <c r="O54" s="96" t="str">
        <f>IF(I54="", _xll.EPMMemberDesc(K54), I54)</f>
        <v>Vuokratuotot</v>
      </c>
      <c r="P54" s="94"/>
      <c r="Q54" s="94"/>
      <c r="R54" s="94"/>
      <c r="S54" s="94"/>
      <c r="T54" s="94">
        <f t="shared" si="2"/>
        <v>0</v>
      </c>
      <c r="U54" s="110"/>
      <c r="V54" s="119">
        <f>_xll.EPMRetrieveData(, $V$19, $V$20, $V$21, $V$22, $V$23, $V$24, $V$25, G54, $P$132)</f>
        <v>0</v>
      </c>
      <c r="W54" s="116">
        <f t="shared" si="3"/>
        <v>0</v>
      </c>
      <c r="X54" s="113">
        <f>_xll.EPMRetrieveData(, $X$20, $X$21, $X$22, $X$23, $X$24, $X$25, G54, $P$132)</f>
        <v>0</v>
      </c>
      <c r="Y54" s="94">
        <f t="shared" si="4"/>
        <v>0</v>
      </c>
      <c r="Z54" s="94">
        <f>IF(K54="", "", _xll.EPMSaveData(V54, , $Z$19, $Z$20, $Z$21, $Z$22, $Z$23, $Z$24, $Z$25, G54, $P$132))</f>
        <v>0</v>
      </c>
      <c r="AA54" s="94">
        <f>IF(K54="", "", _xll.EPMSaveData(X54, , $AA$19, $AA$20, $AA$21, $AA$22, $AA$23, $AA$24, $AA$25, G54, $P$132))</f>
        <v>0</v>
      </c>
    </row>
    <row r="55" spans="6:27" x14ac:dyDescent="0.25">
      <c r="F55" s="152" t="s">
        <v>233</v>
      </c>
      <c r="G55" s="91" t="s">
        <v>122</v>
      </c>
      <c r="I55" s="93" t="s">
        <v>27</v>
      </c>
      <c r="K55" s="137" t="str">
        <f xml:space="preserve"> _xll.EPMOlapMemberO("[TILI].[PARENTH1].[100035A]","","100035A","","000")</f>
        <v>100035A</v>
      </c>
      <c r="L55" s="92"/>
      <c r="M55" s="109" t="str">
        <f t="shared" si="1"/>
        <v>35</v>
      </c>
      <c r="N55" s="92" t="str">
        <f>_xll.EPMMemberProperty(, K55, "CALC")</f>
        <v>Y</v>
      </c>
      <c r="O55" s="93" t="str">
        <f>IF(I55="", _xll.EPMMemberDesc(K55), I55)</f>
        <v>Muut toimintatuotot (350000-359999)</v>
      </c>
      <c r="P55" s="92"/>
      <c r="Q55" s="92"/>
      <c r="R55" s="92"/>
      <c r="S55" s="92"/>
      <c r="T55" s="92">
        <f t="shared" si="2"/>
        <v>0</v>
      </c>
      <c r="U55" s="92"/>
      <c r="V55" s="92">
        <f>_xll.EPMRetrieveData(, $V$19, $V$20, $V$21, $V$22, $V$23, $V$24, $V$25, G55, $P$132)</f>
        <v>0</v>
      </c>
      <c r="W55" s="92">
        <f t="shared" si="3"/>
        <v>0</v>
      </c>
      <c r="X55" s="92">
        <f>_xll.EPMRetrieveData(, $X$20, $X$21, $X$22, $X$23, $X$24, $X$25, G55, $P$132)</f>
        <v>0</v>
      </c>
      <c r="Y55" s="92">
        <f t="shared" si="4"/>
        <v>0</v>
      </c>
      <c r="Z55" s="88">
        <f>IF(K55="", "", _xll.EPMSaveData(V55, , $Z$19, $Z$20, $Z$21, $Z$22, $Z$23, $Z$24, $Z$25, G55, $P$132))</f>
        <v>0</v>
      </c>
      <c r="AA55" s="88">
        <f>IF(K55="", "", _xll.EPMSaveData(X55, , $AA$19, $AA$20, $AA$21, $AA$22, $AA$23, $AA$24, $AA$25, G55, $P$132))</f>
        <v>0</v>
      </c>
    </row>
    <row r="56" spans="6:27" x14ac:dyDescent="0.25">
      <c r="F56" s="152" t="s">
        <v>233</v>
      </c>
      <c r="G56" s="91" t="s">
        <v>123</v>
      </c>
      <c r="I56" s="96" t="s">
        <v>174</v>
      </c>
      <c r="K56" s="139" t="str">
        <f xml:space="preserve"> _xll.EPMOlapMemberO("[TILI].[PARENTH1].[1000350A]","","1000350A","","000")</f>
        <v>1000350A</v>
      </c>
      <c r="L56" s="94"/>
      <c r="M56" s="95" t="str">
        <f t="shared" si="1"/>
        <v>350</v>
      </c>
      <c r="N56" s="94" t="str">
        <f>_xll.EPMMemberProperty(, K56, "CALC")</f>
        <v>Y</v>
      </c>
      <c r="O56" s="96" t="str">
        <f>IF(I56="", _xll.EPMMemberDesc(K56), I56)</f>
        <v>Muut toimintatuotot</v>
      </c>
      <c r="P56" s="94"/>
      <c r="Q56" s="94"/>
      <c r="R56" s="94"/>
      <c r="S56" s="94"/>
      <c r="T56" s="94">
        <f t="shared" si="2"/>
        <v>0</v>
      </c>
      <c r="U56" s="110"/>
      <c r="V56" s="113">
        <f>_xll.EPMRetrieveData(, $V$19, $V$20, $V$21, $V$22, $V$23, $V$24, $V$25, G56, $P$132)</f>
        <v>0</v>
      </c>
      <c r="W56" s="116">
        <f t="shared" si="3"/>
        <v>0</v>
      </c>
      <c r="X56" s="113">
        <f>_xll.EPMRetrieveData(, $X$20, $X$21, $X$22, $X$23, $X$24, $X$25, G56, $P$132)</f>
        <v>0</v>
      </c>
      <c r="Y56" s="94">
        <f t="shared" si="4"/>
        <v>0</v>
      </c>
      <c r="Z56" s="94">
        <f>IF(K56="", "", _xll.EPMSaveData(V56, , $Z$19, $Z$20, $Z$21, $Z$22, $Z$23, $Z$24, $Z$25, G56, $P$132))</f>
        <v>0</v>
      </c>
      <c r="AA56" s="94">
        <f>IF(K56="", "", _xll.EPMSaveData(X56, , $AA$19, $AA$20, $AA$21, $AA$22, $AA$23, $AA$24, $AA$25, G56, $P$132))</f>
        <v>0</v>
      </c>
    </row>
    <row r="57" spans="6:27" x14ac:dyDescent="0.25">
      <c r="F57" s="152" t="s">
        <v>233</v>
      </c>
      <c r="G57" s="91" t="s">
        <v>100</v>
      </c>
      <c r="I57" s="89" t="s">
        <v>100</v>
      </c>
      <c r="K57" s="86" t="str">
        <f xml:space="preserve"> _xll.FPMXLClient.TechnicalCategory.EPMLocalMember("","007","000")</f>
        <v/>
      </c>
      <c r="L57" s="88"/>
      <c r="M57" s="89" t="str">
        <f t="shared" si="1"/>
        <v/>
      </c>
      <c r="N57" s="88" t="str">
        <f>_xll.EPMMemberProperty(, K57, "CALC")</f>
        <v/>
      </c>
      <c r="O57" s="89" t="str">
        <f>IF(I57="", _xll.EPMMemberDesc(K57), I57)</f>
        <v/>
      </c>
      <c r="P57" s="90"/>
      <c r="Q57" s="90"/>
      <c r="R57" s="90"/>
      <c r="S57" s="90"/>
      <c r="T57" s="90">
        <f t="shared" si="2"/>
        <v>0</v>
      </c>
      <c r="U57" s="90"/>
      <c r="V57" s="90">
        <f>_xll.EPMRetrieveData(, $V$19, $V$20, $V$21, $V$22, $V$23, $V$24, $V$25, G57, $P$132)</f>
        <v>0</v>
      </c>
      <c r="W57" s="90">
        <f t="shared" si="3"/>
        <v>0</v>
      </c>
      <c r="X57" s="90">
        <f>_xll.EPMRetrieveData(, $X$20, $X$21, $X$22, $X$23, $X$24, $X$25, G57, $P$132)</f>
        <v>0</v>
      </c>
      <c r="Y57" s="90">
        <f t="shared" si="4"/>
        <v>0</v>
      </c>
      <c r="Z57" s="90" t="str">
        <f>IF(K57="", "", _xll.EPMSaveData(V57, , $Z$19, $Z$20, $Z$21, $Z$22, $Z$23, $Z$24, $Z$25, G57, $P$132))</f>
        <v/>
      </c>
      <c r="AA57" s="90" t="str">
        <f>IF(K57="", "", _xll.EPMSaveData(X57, , $AA$19, $AA$20, $AA$21, $AA$22, $AA$23, $AA$24, $AA$25, G57, $P$132))</f>
        <v/>
      </c>
    </row>
    <row r="58" spans="6:27" x14ac:dyDescent="0.25">
      <c r="F58" s="152" t="s">
        <v>233</v>
      </c>
      <c r="G58" s="91" t="s">
        <v>100</v>
      </c>
      <c r="I58" s="98" t="s">
        <v>37</v>
      </c>
      <c r="K58" s="86" t="str">
        <f xml:space="preserve"> _xll.FPMXLClient.TechnicalCategory.EPMLocalMember("","009","000")</f>
        <v/>
      </c>
      <c r="L58" s="88"/>
      <c r="M58" s="97" t="str">
        <f t="shared" si="1"/>
        <v/>
      </c>
      <c r="N58" s="97" t="str">
        <f>_xll.EPMMemberProperty(, K58, "CALC")</f>
        <v/>
      </c>
      <c r="O58" s="98" t="str">
        <f>IF(I58="", _xll.EPMMemberDesc(K58), I58)</f>
        <v>TOIMINTATULOT YHTEENSÄ</v>
      </c>
      <c r="P58" s="97">
        <f t="shared" ref="M58:AA58" si="5">P39+P44+P51+P53+P55</f>
        <v>0</v>
      </c>
      <c r="Q58" s="97">
        <f t="shared" si="5"/>
        <v>0</v>
      </c>
      <c r="R58" s="97">
        <f t="shared" si="5"/>
        <v>0</v>
      </c>
      <c r="S58" s="97">
        <f t="shared" si="5"/>
        <v>0</v>
      </c>
      <c r="T58" s="97">
        <f t="shared" si="2"/>
        <v>0</v>
      </c>
      <c r="U58" s="97">
        <f t="shared" si="5"/>
        <v>0</v>
      </c>
      <c r="V58" s="97">
        <f>V39+V44+V51+V53+V55</f>
        <v>0</v>
      </c>
      <c r="W58" s="97">
        <f t="shared" si="3"/>
        <v>0</v>
      </c>
      <c r="X58" s="97">
        <f>X39+X44+X51+X53+X55</f>
        <v>0</v>
      </c>
      <c r="Y58" s="97">
        <f t="shared" si="4"/>
        <v>0</v>
      </c>
      <c r="Z58" s="97" t="str">
        <f>IF(K58="", "", _xll.EPMSaveData(V58, , $Z$19, $Z$20, $Z$21, $Z$22, $Z$23, $Z$24, $Z$25, G58, $P$132))</f>
        <v/>
      </c>
      <c r="AA58" s="97" t="str">
        <f>IF(K58="", "", _xll.EPMSaveData(X58, , $AA$19, $AA$20, $AA$21, $AA$22, $AA$23, $AA$24, $AA$25, G58, $P$132))</f>
        <v/>
      </c>
    </row>
    <row r="59" spans="6:27" x14ac:dyDescent="0.25">
      <c r="F59" s="152"/>
      <c r="G59" s="91" t="s">
        <v>100</v>
      </c>
      <c r="I59" s="89" t="s">
        <v>100</v>
      </c>
      <c r="K59" s="86" t="str">
        <f xml:space="preserve"> _xll.FPMXLClient.TechnicalCategory.EPMLocalMember("","010","000")</f>
        <v/>
      </c>
      <c r="L59" s="88"/>
      <c r="M59" s="89" t="str">
        <f t="shared" si="1"/>
        <v/>
      </c>
      <c r="N59" s="88" t="str">
        <f>_xll.EPMMemberProperty(, K59, "CALC")</f>
        <v/>
      </c>
      <c r="O59" s="89" t="str">
        <f>IF(I59="", _xll.EPMMemberDesc(K59), I59)</f>
        <v/>
      </c>
      <c r="P59" s="90"/>
      <c r="Q59" s="90"/>
      <c r="R59" s="90"/>
      <c r="S59" s="90"/>
      <c r="T59" s="90">
        <f t="shared" si="2"/>
        <v>0</v>
      </c>
      <c r="U59" s="90"/>
      <c r="V59" s="90">
        <f>_xll.EPMRetrieveData(, $V$19, $V$20, $V$21, $V$22, $V$23, $V$24, $V$25, G59, $P$132)</f>
        <v>0</v>
      </c>
      <c r="W59" s="90">
        <f t="shared" si="3"/>
        <v>0</v>
      </c>
      <c r="X59" s="90">
        <f>_xll.EPMRetrieveData(, $X$20, $X$21, $X$22, $X$23, $X$24, $X$25, G59, $P$132)</f>
        <v>0</v>
      </c>
      <c r="Y59" s="90">
        <f t="shared" si="4"/>
        <v>0</v>
      </c>
      <c r="Z59" s="90" t="str">
        <f>IF(K59="", "", _xll.EPMSaveData(V59, , $Z$19, $Z$20, $Z$21, $Z$22, $Z$23, $Z$24, $Z$25, G59, $P$132))</f>
        <v/>
      </c>
      <c r="AA59" s="90" t="str">
        <f>IF(K59="", "", _xll.EPMSaveData(X59, , $AA$19, $AA$20, $AA$21, $AA$22, $AA$23, $AA$24, $AA$25, G59, $P$132))</f>
        <v/>
      </c>
    </row>
    <row r="60" spans="6:27" x14ac:dyDescent="0.25">
      <c r="F60" s="152" t="s">
        <v>233</v>
      </c>
      <c r="G60" s="91" t="s">
        <v>124</v>
      </c>
      <c r="I60" s="93" t="s">
        <v>28</v>
      </c>
      <c r="K60" s="140" t="str">
        <f xml:space="preserve"> _xll.EPMOlapMemberO("[TILI].[PARENTH1].[100037A]","","100037A","","000")</f>
        <v>100037A</v>
      </c>
      <c r="L60" s="92"/>
      <c r="M60" s="109" t="str">
        <f t="shared" si="1"/>
        <v>37</v>
      </c>
      <c r="N60" s="92" t="str">
        <f>_xll.EPMMemberProperty(, K60, "CALC")</f>
        <v>Y</v>
      </c>
      <c r="O60" s="93" t="str">
        <f>IF(I60="", _xll.EPMMemberDesc(K60), I60)</f>
        <v>Valmistus omaan käyttöön (370000-379999)</v>
      </c>
      <c r="P60" s="92"/>
      <c r="Q60" s="92"/>
      <c r="R60" s="92"/>
      <c r="S60" s="92"/>
      <c r="T60" s="92">
        <f t="shared" si="2"/>
        <v>0</v>
      </c>
      <c r="U60" s="92"/>
      <c r="V60" s="92">
        <f>_xll.EPMRetrieveData(, $V$19, $V$20, $V$21, $V$22, $V$23, $V$24, $V$25, G60, $P$132)</f>
        <v>0</v>
      </c>
      <c r="W60" s="92">
        <f t="shared" si="3"/>
        <v>0</v>
      </c>
      <c r="X60" s="92">
        <f>_xll.EPMRetrieveData(, $X$20, $X$21, $X$22, $X$23, $X$24, $X$25, G60, $P$132)</f>
        <v>0</v>
      </c>
      <c r="Y60" s="92">
        <f t="shared" si="4"/>
        <v>0</v>
      </c>
      <c r="Z60" s="88">
        <f>IF(K60="", "", _xll.EPMSaveData(V60, , $Z$19, $Z$20, $Z$21, $Z$22, $Z$23, $Z$24, $Z$25, G60, $P$132))</f>
        <v>0</v>
      </c>
      <c r="AA60" s="88">
        <f>IF(K60="", "", _xll.EPMSaveData(X60, , $AA$19, $AA$20, $AA$21, $AA$22, $AA$23, $AA$24, $AA$25, G60, $P$132))</f>
        <v>0</v>
      </c>
    </row>
    <row r="61" spans="6:27" x14ac:dyDescent="0.25">
      <c r="F61" s="152" t="s">
        <v>233</v>
      </c>
      <c r="G61" s="91" t="s">
        <v>125</v>
      </c>
      <c r="I61" s="101" t="s">
        <v>175</v>
      </c>
      <c r="K61" s="138" t="str">
        <f xml:space="preserve"> _xll.EPMOlapMemberO("[TILI].[PARENTH1].[1000370A]","","1000370A","","000")</f>
        <v>1000370A</v>
      </c>
      <c r="L61" s="99"/>
      <c r="M61" s="100" t="str">
        <f t="shared" si="1"/>
        <v>370</v>
      </c>
      <c r="N61" s="99" t="str">
        <f>_xll.EPMMemberProperty(, K61, "CALC")</f>
        <v>Y</v>
      </c>
      <c r="O61" s="101" t="str">
        <f>IF(I61="", _xll.EPMMemberDesc(K61), I61)</f>
        <v>Valmistus omaan käyttöön</v>
      </c>
      <c r="P61" s="99"/>
      <c r="Q61" s="99"/>
      <c r="R61" s="99"/>
      <c r="S61" s="99"/>
      <c r="T61" s="99">
        <f t="shared" si="2"/>
        <v>0</v>
      </c>
      <c r="U61" s="121"/>
      <c r="V61" s="122">
        <f>_xll.EPMRetrieveData(, $V$19, $V$20, $V$21, $V$22, $V$23, $V$24, $V$25, G61, $P$132)</f>
        <v>0</v>
      </c>
      <c r="W61" s="123">
        <f t="shared" si="3"/>
        <v>0</v>
      </c>
      <c r="X61" s="122">
        <f>_xll.EPMRetrieveData(, $X$20, $X$21, $X$22, $X$23, $X$24, $X$25, G61, $P$132)</f>
        <v>0</v>
      </c>
      <c r="Y61" s="99">
        <f t="shared" si="4"/>
        <v>0</v>
      </c>
      <c r="Z61" s="87">
        <f>IF(K61="", "", _xll.EPMSaveData(V61, , $Z$19, $Z$20, $Z$21, $Z$22, $Z$23, $Z$24, $Z$25, G61, $P$132))</f>
        <v>0</v>
      </c>
      <c r="AA61" s="87">
        <f>IF(K61="", "", _xll.EPMSaveData(X61, , $AA$19, $AA$20, $AA$21, $AA$22, $AA$23, $AA$24, $AA$25, G61, $P$132))</f>
        <v>0</v>
      </c>
    </row>
    <row r="62" spans="6:27" x14ac:dyDescent="0.25">
      <c r="F62" s="152"/>
      <c r="G62" s="91" t="s">
        <v>100</v>
      </c>
      <c r="I62" s="89" t="s">
        <v>100</v>
      </c>
      <c r="K62" s="86" t="str">
        <f xml:space="preserve"> _xll.FPMXLClient.TechnicalCategory.EPMLocalMember("","004","000")</f>
        <v/>
      </c>
      <c r="L62" s="88"/>
      <c r="M62" s="89" t="str">
        <f t="shared" si="1"/>
        <v/>
      </c>
      <c r="N62" s="88" t="str">
        <f>_xll.EPMMemberProperty(, K62, "CALC")</f>
        <v/>
      </c>
      <c r="O62" s="89" t="str">
        <f>IF(I62="", _xll.EPMMemberDesc(K62), I62)</f>
        <v/>
      </c>
      <c r="P62" s="90"/>
      <c r="Q62" s="90"/>
      <c r="R62" s="90"/>
      <c r="S62" s="90"/>
      <c r="T62" s="90">
        <f t="shared" si="2"/>
        <v>0</v>
      </c>
      <c r="U62" s="90"/>
      <c r="V62" s="90">
        <f>_xll.EPMRetrieveData(, $V$19, $V$20, $V$21, $V$22, $V$23, $V$24, $V$25, G62, $P$132)</f>
        <v>0</v>
      </c>
      <c r="W62" s="90">
        <f t="shared" si="3"/>
        <v>0</v>
      </c>
      <c r="X62" s="90">
        <f>_xll.EPMRetrieveData(, $X$20, $X$21, $X$22, $X$23, $X$24, $X$25, G62, $P$132)</f>
        <v>0</v>
      </c>
      <c r="Y62" s="90">
        <f t="shared" si="4"/>
        <v>0</v>
      </c>
      <c r="Z62" s="90" t="str">
        <f>IF(K62="", "", _xll.EPMSaveData(V62, , $Z$19, $Z$20, $Z$21, $Z$22, $Z$23, $Z$24, $Z$25, G62, $P$132))</f>
        <v/>
      </c>
      <c r="AA62" s="90" t="str">
        <f>IF(K62="", "", _xll.EPMSaveData(X62, , $AA$19, $AA$20, $AA$21, $AA$22, $AA$23, $AA$24, $AA$25, G62, $P$132))</f>
        <v/>
      </c>
    </row>
    <row r="63" spans="6:27" x14ac:dyDescent="0.25">
      <c r="F63" s="152"/>
      <c r="G63" s="91" t="s">
        <v>100</v>
      </c>
      <c r="I63" s="89" t="s">
        <v>73</v>
      </c>
      <c r="K63" s="86" t="str">
        <f xml:space="preserve"> _xll.FPMXLClient.TechnicalCategory.EPMLocalMember("","006","000")</f>
        <v/>
      </c>
      <c r="L63" s="88"/>
      <c r="M63" s="89" t="str">
        <f t="shared" si="1"/>
        <v/>
      </c>
      <c r="N63" s="88" t="str">
        <f>_xll.EPMMemberProperty(, K63, "CALC")</f>
        <v/>
      </c>
      <c r="O63" s="89" t="str">
        <f>IF(I63="", _xll.EPMMemberDesc(K63), I63)</f>
        <v>TOIMINTAMENOT</v>
      </c>
      <c r="P63" s="90"/>
      <c r="Q63" s="90"/>
      <c r="R63" s="90"/>
      <c r="S63" s="90"/>
      <c r="T63" s="90">
        <f t="shared" si="2"/>
        <v>0</v>
      </c>
      <c r="U63" s="90"/>
      <c r="V63" s="150">
        <f>_xll.EPMRetrieveData(, $V$19, $V$20, $V$21, $V$22, $V$23, $V$24, $V$25, G63, $P$132)</f>
        <v>0</v>
      </c>
      <c r="W63" s="90">
        <f t="shared" si="3"/>
        <v>0</v>
      </c>
      <c r="X63" s="150">
        <f>_xll.EPMRetrieveData(, $X$20, $X$21, $X$22, $X$23, $X$24, $X$25, G63, $P$132)</f>
        <v>0</v>
      </c>
      <c r="Y63" s="90">
        <f t="shared" si="4"/>
        <v>0</v>
      </c>
      <c r="Z63" s="90" t="str">
        <f>IF(K63="", "", _xll.EPMSaveData(V63, , $Z$19, $Z$20, $Z$21, $Z$22, $Z$23, $Z$24, $Z$25, G63, $P$132))</f>
        <v/>
      </c>
      <c r="AA63" s="90" t="str">
        <f>IF(K63="", "", _xll.EPMSaveData(X63, , $AA$19, $AA$20, $AA$21, $AA$22, $AA$23, $AA$24, $AA$25, G63, $P$132))</f>
        <v/>
      </c>
    </row>
    <row r="64" spans="6:27" x14ac:dyDescent="0.25">
      <c r="F64" s="152" t="s">
        <v>234</v>
      </c>
      <c r="G64" s="91" t="s">
        <v>126</v>
      </c>
      <c r="I64" s="93" t="s">
        <v>29</v>
      </c>
      <c r="K64" s="137" t="str">
        <f xml:space="preserve"> _xll.EPMOlapMemberO("[TILI].[PARENTH1].[100040A]","","100040A","","000")</f>
        <v>100040A</v>
      </c>
      <c r="L64" s="92"/>
      <c r="M64" s="109" t="str">
        <f t="shared" si="1"/>
        <v>40</v>
      </c>
      <c r="N64" s="92" t="str">
        <f>_xll.EPMMemberProperty(, K64, "CALC")</f>
        <v>Y</v>
      </c>
      <c r="O64" s="93" t="str">
        <f>IF(I64="", _xll.EPMMemberDesc(K64), I64)</f>
        <v>Henkilöstökulut (400000-429999)</v>
      </c>
      <c r="P64" s="92">
        <v>354009.11</v>
      </c>
      <c r="Q64" s="92">
        <v>386375.4020004</v>
      </c>
      <c r="R64" s="92"/>
      <c r="S64" s="92"/>
      <c r="T64" s="92">
        <f t="shared" si="2"/>
        <v>386375.4020004</v>
      </c>
      <c r="U64" s="92">
        <v>201701.03</v>
      </c>
      <c r="V64" s="92">
        <f>_xll.EPMRetrieveData(, $V$19, $V$20, $V$21, $V$22, $V$23, $V$24, $V$25, G64, $P$132)</f>
        <v>0</v>
      </c>
      <c r="W64" s="92">
        <f t="shared" si="3"/>
        <v>201701.03</v>
      </c>
      <c r="X64" s="92">
        <f>_xll.EPMRetrieveData(, $X$20, $X$21, $X$22, $X$23, $X$24, $X$25, G64, $P$132)</f>
        <v>386376</v>
      </c>
      <c r="Y64" s="92">
        <f t="shared" si="4"/>
        <v>-0.59799959999509156</v>
      </c>
      <c r="Z64" s="88">
        <f>IF(K64="", "", _xll.EPMSaveData(V64, , $Z$19, $Z$20, $Z$21, $Z$22, $Z$23, $Z$24, $Z$25, G64, $P$132))</f>
        <v>0</v>
      </c>
      <c r="AA64" s="88">
        <f>IF(K64="", "", _xll.EPMSaveData(X64, , $AA$19, $AA$20, $AA$21, $AA$22, $AA$23, $AA$24, $AA$25, G64, $P$132))</f>
        <v>386376</v>
      </c>
    </row>
    <row r="65" spans="6:27" x14ac:dyDescent="0.25">
      <c r="F65" s="152" t="s">
        <v>234</v>
      </c>
      <c r="G65" s="91" t="s">
        <v>127</v>
      </c>
      <c r="I65" s="96" t="s">
        <v>176</v>
      </c>
      <c r="K65" s="139" t="str">
        <f xml:space="preserve"> _xll.EPMOlapMemberO("[TILI].[PARENTH1].[1000400A]","","1000400A","","000")</f>
        <v>1000400A</v>
      </c>
      <c r="L65" s="94"/>
      <c r="M65" s="95" t="str">
        <f t="shared" si="1"/>
        <v>400</v>
      </c>
      <c r="N65" s="94" t="str">
        <f>_xll.EPMMemberProperty(, K65, "CALC")</f>
        <v>Y</v>
      </c>
      <c r="O65" s="96" t="str">
        <f>IF(I65="", _xll.EPMMemberDesc(K65), I65)</f>
        <v>Palkat ja palkkiot</v>
      </c>
      <c r="P65" s="94">
        <v>249267</v>
      </c>
      <c r="Q65" s="94">
        <v>282995.0000004</v>
      </c>
      <c r="R65" s="94"/>
      <c r="S65" s="94"/>
      <c r="T65" s="94">
        <f t="shared" si="2"/>
        <v>282995.0000004</v>
      </c>
      <c r="U65" s="110">
        <v>149592.18</v>
      </c>
      <c r="V65" s="113">
        <f>_xll.EPMRetrieveData(, $V$19, $V$20, $V$21, $V$22, $V$23, $V$24, $V$25, G65, $P$132)</f>
        <v>0</v>
      </c>
      <c r="W65" s="116">
        <f t="shared" si="3"/>
        <v>149592.18</v>
      </c>
      <c r="X65" s="113">
        <f>_xll.EPMRetrieveData(, $X$20, $X$21, $X$22, $X$23, $X$24, $X$25, G65, $P$132)</f>
        <v>282995</v>
      </c>
      <c r="Y65" s="94">
        <f t="shared" si="4"/>
        <v>4.0000304579734802E-7</v>
      </c>
      <c r="Z65" s="94">
        <f>IF(K65="", "", _xll.EPMSaveData(V65, , $Z$19, $Z$20, $Z$21, $Z$22, $Z$23, $Z$24, $Z$25, G65, $P$132))</f>
        <v>0</v>
      </c>
      <c r="AA65" s="94">
        <f>IF(K65="", "", _xll.EPMSaveData(X65, , $AA$19, $AA$20, $AA$21, $AA$22, $AA$23, $AA$24, $AA$25, G65, $P$132))</f>
        <v>282995</v>
      </c>
    </row>
    <row r="66" spans="6:27" x14ac:dyDescent="0.25">
      <c r="F66" s="152" t="s">
        <v>234</v>
      </c>
      <c r="G66" s="91" t="s">
        <v>128</v>
      </c>
      <c r="I66" s="96" t="s">
        <v>177</v>
      </c>
      <c r="K66" s="139" t="str">
        <f xml:space="preserve"> _xll.EPMOlapMemberO("[TILI].[PARENTH1].[1000410A]","","1000410A","","000")</f>
        <v>1000410A</v>
      </c>
      <c r="L66" s="94"/>
      <c r="M66" s="95" t="str">
        <f t="shared" si="1"/>
        <v>410</v>
      </c>
      <c r="N66" s="94" t="str">
        <f>_xll.EPMMemberProperty(, K66, "CALC")</f>
        <v>Y</v>
      </c>
      <c r="O66" s="96" t="str">
        <f>IF(I66="", _xll.EPMMemberDesc(K66), I66)</f>
        <v>Eläkekulut</v>
      </c>
      <c r="P66" s="94">
        <v>87152.48</v>
      </c>
      <c r="Q66" s="94">
        <v>91466.662500000006</v>
      </c>
      <c r="R66" s="94"/>
      <c r="S66" s="94"/>
      <c r="T66" s="94">
        <f t="shared" si="2"/>
        <v>91466.662500000006</v>
      </c>
      <c r="U66" s="112">
        <v>47092.58</v>
      </c>
      <c r="V66" s="114">
        <f>_xll.EPMRetrieveData(, $V$19, $V$20, $V$21, $V$22, $V$23, $V$24, $V$25, G66, $P$132)</f>
        <v>0</v>
      </c>
      <c r="W66" s="115">
        <f t="shared" si="3"/>
        <v>47092.58</v>
      </c>
      <c r="X66" s="114">
        <f>_xll.EPMRetrieveData(, $X$20, $X$21, $X$22, $X$23, $X$24, $X$25, G66, $P$132)</f>
        <v>91467</v>
      </c>
      <c r="Y66" s="94">
        <f t="shared" si="4"/>
        <v>-0.33749999999417923</v>
      </c>
      <c r="Z66" s="94">
        <f>IF(K66="", "", _xll.EPMSaveData(V66, , $Z$19, $Z$20, $Z$21, $Z$22, $Z$23, $Z$24, $Z$25, G66, $P$132))</f>
        <v>0</v>
      </c>
      <c r="AA66" s="94">
        <f>IF(K66="", "", _xll.EPMSaveData(X66, , $AA$19, $AA$20, $AA$21, $AA$22, $AA$23, $AA$24, $AA$25, G66, $P$132))</f>
        <v>91467</v>
      </c>
    </row>
    <row r="67" spans="6:27" x14ac:dyDescent="0.25">
      <c r="F67" s="152" t="s">
        <v>234</v>
      </c>
      <c r="G67" s="91" t="s">
        <v>129</v>
      </c>
      <c r="I67" s="96" t="s">
        <v>178</v>
      </c>
      <c r="K67" s="139" t="str">
        <f xml:space="preserve"> _xll.EPMOlapMemberO("[TILI].[PARENTH1].[1000415A]","","1000415A","","000")</f>
        <v>1000415A</v>
      </c>
      <c r="L67" s="94"/>
      <c r="M67" s="95" t="str">
        <f t="shared" si="1"/>
        <v>415</v>
      </c>
      <c r="N67" s="94" t="str">
        <f>_xll.EPMMemberProperty(, K67, "CALC")</f>
        <v>Y</v>
      </c>
      <c r="O67" s="96" t="str">
        <f>IF(I67="", _xll.EPMMemberDesc(K67), I67)</f>
        <v>Muut henkilöstösivukulut</v>
      </c>
      <c r="P67" s="94">
        <v>11054.3</v>
      </c>
      <c r="Q67" s="94">
        <v>11913.7395</v>
      </c>
      <c r="R67" s="94"/>
      <c r="S67" s="94"/>
      <c r="T67" s="94">
        <f t="shared" si="2"/>
        <v>11913.7395</v>
      </c>
      <c r="U67" s="112">
        <v>5204.76</v>
      </c>
      <c r="V67" s="114">
        <f>_xll.EPMRetrieveData(, $V$19, $V$20, $V$21, $V$22, $V$23, $V$24, $V$25, G67, $P$132)</f>
        <v>0</v>
      </c>
      <c r="W67" s="115">
        <f t="shared" si="3"/>
        <v>5204.76</v>
      </c>
      <c r="X67" s="114">
        <f>_xll.EPMRetrieveData(, $X$20, $X$21, $X$22, $X$23, $X$24, $X$25, G67, $P$132)</f>
        <v>11914</v>
      </c>
      <c r="Y67" s="94">
        <f t="shared" si="4"/>
        <v>-0.26050000000032014</v>
      </c>
      <c r="Z67" s="94">
        <f>IF(K67="", "", _xll.EPMSaveData(V67, , $Z$19, $Z$20, $Z$21, $Z$22, $Z$23, $Z$24, $Z$25, G67, $P$132))</f>
        <v>0</v>
      </c>
      <c r="AA67" s="94">
        <f>IF(K67="", "", _xll.EPMSaveData(X67, , $AA$19, $AA$20, $AA$21, $AA$22, $AA$23, $AA$24, $AA$25, G67, $P$132))</f>
        <v>11914</v>
      </c>
    </row>
    <row r="68" spans="6:27" x14ac:dyDescent="0.25">
      <c r="F68" s="152" t="s">
        <v>234</v>
      </c>
      <c r="G68" s="91" t="s">
        <v>130</v>
      </c>
      <c r="I68" s="96" t="s">
        <v>179</v>
      </c>
      <c r="K68" s="139" t="str">
        <f xml:space="preserve"> _xll.EPMOlapMemberO("[TILI].[PARENTH1].[1000423A]","","1000423A","","000")</f>
        <v>1000423A</v>
      </c>
      <c r="L68" s="94"/>
      <c r="M68" s="95" t="str">
        <f t="shared" si="1"/>
        <v>423</v>
      </c>
      <c r="N68" s="94" t="str">
        <f>_xll.EPMMemberProperty(, K68, "CALC")</f>
        <v>Y</v>
      </c>
      <c r="O68" s="96" t="str">
        <f>IF(I68="", _xll.EPMMemberDesc(K68), I68)</f>
        <v>Hlöstökorvaukset &amp; -menojen korjauserät</v>
      </c>
      <c r="P68" s="94">
        <v>6535.33</v>
      </c>
      <c r="Q68" s="94"/>
      <c r="R68" s="94"/>
      <c r="S68" s="94"/>
      <c r="T68" s="94">
        <f t="shared" si="2"/>
        <v>0</v>
      </c>
      <c r="U68" s="112">
        <v>-188.49</v>
      </c>
      <c r="V68" s="114">
        <f>_xll.EPMRetrieveData(, $V$19, $V$20, $V$21, $V$22, $V$23, $V$24, $V$25, G68, $P$132)</f>
        <v>0</v>
      </c>
      <c r="W68" s="115">
        <f t="shared" si="3"/>
        <v>-188.49</v>
      </c>
      <c r="X68" s="114">
        <f>_xll.EPMRetrieveData(, $X$20, $X$21, $X$22, $X$23, $X$24, $X$25, G68, $P$132)</f>
        <v>0</v>
      </c>
      <c r="Y68" s="94">
        <f t="shared" si="4"/>
        <v>0</v>
      </c>
      <c r="Z68" s="94">
        <f>IF(K68="", "", _xll.EPMSaveData(V68, , $Z$19, $Z$20, $Z$21, $Z$22, $Z$23, $Z$24, $Z$25, G68, $P$132))</f>
        <v>0</v>
      </c>
      <c r="AA68" s="94">
        <f>IF(K68="", "", _xll.EPMSaveData(X68, , $AA$19, $AA$20, $AA$21, $AA$22, $AA$23, $AA$24, $AA$25, G68, $P$132))</f>
        <v>0</v>
      </c>
    </row>
    <row r="69" spans="6:27" x14ac:dyDescent="0.25">
      <c r="F69" s="152" t="s">
        <v>234</v>
      </c>
      <c r="G69" s="91" t="s">
        <v>131</v>
      </c>
      <c r="I69" s="93" t="s">
        <v>30</v>
      </c>
      <c r="K69" s="137" t="str">
        <f xml:space="preserve"> _xll.EPMOlapMemberO("[TILI].[PARENTH1].[100043A]","","100043A","","000")</f>
        <v>100043A</v>
      </c>
      <c r="L69" s="92"/>
      <c r="M69" s="109" t="str">
        <f t="shared" si="1"/>
        <v>43</v>
      </c>
      <c r="N69" s="92" t="str">
        <f>_xll.EPMMemberProperty(, K69, "CALC")</f>
        <v>Y</v>
      </c>
      <c r="O69" s="93" t="str">
        <f>IF(I69="", _xll.EPMMemberDesc(K69), I69)</f>
        <v>Palveluiden ostot (430000-449999)</v>
      </c>
      <c r="P69" s="92">
        <v>81288.94</v>
      </c>
      <c r="Q69" s="92">
        <v>98985.999998400002</v>
      </c>
      <c r="R69" s="92"/>
      <c r="S69" s="92"/>
      <c r="T69" s="92">
        <f t="shared" si="2"/>
        <v>98985.999998400002</v>
      </c>
      <c r="U69" s="92">
        <v>37379.24</v>
      </c>
      <c r="V69" s="92">
        <f>_xll.EPMRetrieveData(, $V$19, $V$20, $V$21, $V$22, $V$23, $V$24, $V$25, G69, $P$132)</f>
        <v>0</v>
      </c>
      <c r="W69" s="92">
        <f t="shared" si="3"/>
        <v>37379.24</v>
      </c>
      <c r="X69" s="92">
        <f>_xll.EPMRetrieveData(, $X$20, $X$21, $X$22, $X$23, $X$24, $X$25, G69, $P$132)</f>
        <v>98986</v>
      </c>
      <c r="Y69" s="92">
        <f t="shared" si="4"/>
        <v>-1.5999976312741637E-6</v>
      </c>
      <c r="Z69" s="88">
        <f>IF(K69="", "", _xll.EPMSaveData(V69, , $Z$19, $Z$20, $Z$21, $Z$22, $Z$23, $Z$24, $Z$25, G69, $P$132))</f>
        <v>0</v>
      </c>
      <c r="AA69" s="88">
        <f>IF(K69="", "", _xll.EPMSaveData(X69, , $AA$19, $AA$20, $AA$21, $AA$22, $AA$23, $AA$24, $AA$25, G69, $P$132))</f>
        <v>98986</v>
      </c>
    </row>
    <row r="70" spans="6:27" x14ac:dyDescent="0.25">
      <c r="F70" s="152" t="s">
        <v>234</v>
      </c>
      <c r="G70" s="91" t="s">
        <v>132</v>
      </c>
      <c r="I70" s="96" t="s">
        <v>180</v>
      </c>
      <c r="K70" s="139" t="str">
        <f xml:space="preserve"> _xll.EPMOlapMemberO("[TILI].[PARENTH1].[1000430A]","","1000430A","","000")</f>
        <v>1000430A</v>
      </c>
      <c r="L70" s="94"/>
      <c r="M70" s="95" t="str">
        <f t="shared" si="1"/>
        <v>430</v>
      </c>
      <c r="N70" s="94" t="str">
        <f>_xll.EPMMemberProperty(, K70, "CALC")</f>
        <v>Y</v>
      </c>
      <c r="O70" s="96" t="str">
        <f>IF(I70="", _xll.EPMMemberDesc(K70), I70)</f>
        <v>Asiakaspalvelujen ostot</v>
      </c>
      <c r="P70" s="94"/>
      <c r="Q70" s="94"/>
      <c r="R70" s="94"/>
      <c r="S70" s="94"/>
      <c r="T70" s="94">
        <f t="shared" si="2"/>
        <v>0</v>
      </c>
      <c r="U70" s="110"/>
      <c r="V70" s="113">
        <f>_xll.EPMRetrieveData(, $V$19, $V$20, $V$21, $V$22, $V$23, $V$24, $V$25, G70, $P$132)</f>
        <v>0</v>
      </c>
      <c r="W70" s="116">
        <f t="shared" si="3"/>
        <v>0</v>
      </c>
      <c r="X70" s="113">
        <f>_xll.EPMRetrieveData(, $X$20, $X$21, $X$22, $X$23, $X$24, $X$25, G70, $P$132)</f>
        <v>0</v>
      </c>
      <c r="Y70" s="94">
        <f t="shared" si="4"/>
        <v>0</v>
      </c>
      <c r="Z70" s="94">
        <f>IF(K70="", "", _xll.EPMSaveData(V70, , $Z$19, $Z$20, $Z$21, $Z$22, $Z$23, $Z$24, $Z$25, G70, $P$132))</f>
        <v>0</v>
      </c>
      <c r="AA70" s="94">
        <f>IF(K70="", "", _xll.EPMSaveData(X70, , $AA$19, $AA$20, $AA$21, $AA$22, $AA$23, $AA$24, $AA$25, G70, $P$132))</f>
        <v>0</v>
      </c>
    </row>
    <row r="71" spans="6:27" x14ac:dyDescent="0.25">
      <c r="F71" s="152" t="s">
        <v>234</v>
      </c>
      <c r="G71" s="91" t="s">
        <v>133</v>
      </c>
      <c r="I71" s="96" t="s">
        <v>181</v>
      </c>
      <c r="K71" s="139" t="str">
        <f xml:space="preserve"> _xll.EPMOlapMemberO("[TILI].[PARENTH1].[1000434A]","","1000434A","","000")</f>
        <v>1000434A</v>
      </c>
      <c r="L71" s="94"/>
      <c r="M71" s="95" t="str">
        <f t="shared" si="1"/>
        <v>434</v>
      </c>
      <c r="N71" s="94" t="str">
        <f>_xll.EPMMemberProperty(, K71, "CALC")</f>
        <v>Y</v>
      </c>
      <c r="O71" s="96" t="str">
        <f>IF(I71="", _xll.EPMMemberDesc(K71), I71)</f>
        <v>Muiden palvelujen ostot</v>
      </c>
      <c r="P71" s="94">
        <v>81288.94</v>
      </c>
      <c r="Q71" s="94">
        <v>98985.999998400002</v>
      </c>
      <c r="R71" s="94"/>
      <c r="S71" s="94"/>
      <c r="T71" s="94">
        <f t="shared" si="2"/>
        <v>98985.999998400002</v>
      </c>
      <c r="U71" s="112">
        <v>37379.24</v>
      </c>
      <c r="V71" s="114">
        <f>_xll.EPMRetrieveData(, $V$19, $V$20, $V$21, $V$22, $V$23, $V$24, $V$25, G71, $P$132)</f>
        <v>0</v>
      </c>
      <c r="W71" s="115">
        <f t="shared" si="3"/>
        <v>37379.24</v>
      </c>
      <c r="X71" s="114">
        <f>_xll.EPMRetrieveData(, $X$20, $X$21, $X$22, $X$23, $X$24, $X$25, G71, $P$132)</f>
        <v>98986</v>
      </c>
      <c r="Y71" s="94">
        <f t="shared" si="4"/>
        <v>-1.5999976312741637E-6</v>
      </c>
      <c r="Z71" s="94">
        <f>IF(K71="", "", _xll.EPMSaveData(V71, , $Z$19, $Z$20, $Z$21, $Z$22, $Z$23, $Z$24, $Z$25, G71, $P$132))</f>
        <v>0</v>
      </c>
      <c r="AA71" s="94">
        <f>IF(K71="", "", _xll.EPMSaveData(X71, , $AA$19, $AA$20, $AA$21, $AA$22, $AA$23, $AA$24, $AA$25, G71, $P$132))</f>
        <v>98986</v>
      </c>
    </row>
    <row r="72" spans="6:27" x14ac:dyDescent="0.25">
      <c r="F72" s="152" t="s">
        <v>234</v>
      </c>
      <c r="G72" s="91" t="s">
        <v>134</v>
      </c>
      <c r="I72" s="93" t="s">
        <v>31</v>
      </c>
      <c r="K72" s="137" t="str">
        <f xml:space="preserve"> _xll.EPMOlapMemberO("[TILI].[PARENTH1].[100045A]","","100045A","","000")</f>
        <v>100045A</v>
      </c>
      <c r="L72" s="92"/>
      <c r="M72" s="109" t="str">
        <f t="shared" si="1"/>
        <v>45</v>
      </c>
      <c r="N72" s="92" t="str">
        <f>_xll.EPMMemberProperty(, K72, "CALC")</f>
        <v>Y</v>
      </c>
      <c r="O72" s="93" t="str">
        <f>IF(I72="", _xll.EPMMemberDesc(K72), I72)</f>
        <v>Aineet, tarvikkeet ja tavarat (450000-469999)</v>
      </c>
      <c r="P72" s="92">
        <v>6744.14</v>
      </c>
      <c r="Q72" s="92">
        <v>5499</v>
      </c>
      <c r="R72" s="92"/>
      <c r="S72" s="92"/>
      <c r="T72" s="92">
        <f t="shared" si="2"/>
        <v>5499</v>
      </c>
      <c r="U72" s="92">
        <v>1874.88</v>
      </c>
      <c r="V72" s="92">
        <f>_xll.EPMRetrieveData(, $V$19, $V$20, $V$21, $V$22, $V$23, $V$24, $V$25, G72, $P$132)</f>
        <v>0</v>
      </c>
      <c r="W72" s="92">
        <f t="shared" si="3"/>
        <v>1874.88</v>
      </c>
      <c r="X72" s="92">
        <f>_xll.EPMRetrieveData(, $X$20, $X$21, $X$22, $X$23, $X$24, $X$25, G72, $P$132)</f>
        <v>5499</v>
      </c>
      <c r="Y72" s="92">
        <f t="shared" si="4"/>
        <v>0</v>
      </c>
      <c r="Z72" s="88">
        <f>IF(K72="", "", _xll.EPMSaveData(V72, , $Z$19, $Z$20, $Z$21, $Z$22, $Z$23, $Z$24, $Z$25, G72, $P$132))</f>
        <v>0</v>
      </c>
      <c r="AA72" s="88">
        <f>IF(K72="", "", _xll.EPMSaveData(X72, , $AA$19, $AA$20, $AA$21, $AA$22, $AA$23, $AA$24, $AA$25, G72, $P$132))</f>
        <v>5499</v>
      </c>
    </row>
    <row r="73" spans="6:27" x14ac:dyDescent="0.25">
      <c r="F73" s="152" t="s">
        <v>234</v>
      </c>
      <c r="G73" s="91" t="s">
        <v>135</v>
      </c>
      <c r="I73" s="96" t="s">
        <v>182</v>
      </c>
      <c r="K73" s="139" t="str">
        <f xml:space="preserve"> _xll.EPMOlapMemberO("[TILI].[PARENTH1].[1000450A]","","1000450A","","000")</f>
        <v>1000450A</v>
      </c>
      <c r="L73" s="94"/>
      <c r="M73" s="95" t="str">
        <f t="shared" si="1"/>
        <v>450</v>
      </c>
      <c r="N73" s="94" t="str">
        <f>_xll.EPMMemberProperty(, K73, "CALC")</f>
        <v>Y</v>
      </c>
      <c r="O73" s="96" t="str">
        <f>IF(I73="", _xll.EPMMemberDesc(K73), I73)</f>
        <v>Ostot tilikauden aikana</v>
      </c>
      <c r="P73" s="94">
        <v>6744.14</v>
      </c>
      <c r="Q73" s="94">
        <v>5499</v>
      </c>
      <c r="R73" s="94"/>
      <c r="S73" s="94"/>
      <c r="T73" s="94">
        <f t="shared" si="2"/>
        <v>5499</v>
      </c>
      <c r="U73" s="110">
        <v>1874.88</v>
      </c>
      <c r="V73" s="113">
        <f>_xll.EPMRetrieveData(, $V$19, $V$20, $V$21, $V$22, $V$23, $V$24, $V$25, G73, $P$132)</f>
        <v>0</v>
      </c>
      <c r="W73" s="110">
        <f t="shared" si="3"/>
        <v>1874.88</v>
      </c>
      <c r="X73" s="117">
        <f>_xll.EPMRetrieveData(, $X$20, $X$21, $X$22, $X$23, $X$24, $X$25, G73, $P$132)</f>
        <v>5499</v>
      </c>
      <c r="Y73" s="94">
        <f t="shared" si="4"/>
        <v>0</v>
      </c>
      <c r="Z73" s="94">
        <f>IF(K73="", "", _xll.EPMSaveData(V73, , $Z$19, $Z$20, $Z$21, $Z$22, $Z$23, $Z$24, $Z$25, G73, $P$132))</f>
        <v>0</v>
      </c>
      <c r="AA73" s="94">
        <f>IF(K73="", "", _xll.EPMSaveData(X73, , $AA$19, $AA$20, $AA$21, $AA$22, $AA$23, $AA$24, $AA$25, G73, $P$132))</f>
        <v>5499</v>
      </c>
    </row>
    <row r="74" spans="6:27" x14ac:dyDescent="0.25">
      <c r="F74" s="152" t="s">
        <v>234</v>
      </c>
      <c r="G74" s="91" t="s">
        <v>136</v>
      </c>
      <c r="I74" s="96" t="s">
        <v>183</v>
      </c>
      <c r="K74" s="139" t="str">
        <f xml:space="preserve"> _xll.EPMOlapMemberO("[TILI].[PARENTH1].[1000467A]","","1000467A","","000")</f>
        <v>1000467A</v>
      </c>
      <c r="L74" s="94"/>
      <c r="M74" s="95" t="str">
        <f t="shared" si="1"/>
        <v>467</v>
      </c>
      <c r="N74" s="94" t="str">
        <f>_xll.EPMMemberProperty(, K74, "CALC")</f>
        <v>Y</v>
      </c>
      <c r="O74" s="96" t="str">
        <f>IF(I74="", _xll.EPMMemberDesc(K74), I74)</f>
        <v>Varastojen lisäys / vähennys</v>
      </c>
      <c r="P74" s="94"/>
      <c r="Q74" s="94"/>
      <c r="R74" s="94"/>
      <c r="S74" s="94"/>
      <c r="T74" s="94">
        <f t="shared" si="2"/>
        <v>0</v>
      </c>
      <c r="U74" s="112"/>
      <c r="V74" s="114">
        <f>_xll.EPMRetrieveData(, $V$19, $V$20, $V$21, $V$22, $V$23, $V$24, $V$25, G74, $P$132)</f>
        <v>0</v>
      </c>
      <c r="W74" s="112">
        <f t="shared" si="3"/>
        <v>0</v>
      </c>
      <c r="X74" s="118">
        <f>_xll.EPMRetrieveData(, $X$20, $X$21, $X$22, $X$23, $X$24, $X$25, G74, $P$132)</f>
        <v>0</v>
      </c>
      <c r="Y74" s="94">
        <f t="shared" si="4"/>
        <v>0</v>
      </c>
      <c r="Z74" s="94">
        <f>IF(K74="", "", _xll.EPMSaveData(V74, , $Z$19, $Z$20, $Z$21, $Z$22, $Z$23, $Z$24, $Z$25, G74, $P$132))</f>
        <v>0</v>
      </c>
      <c r="AA74" s="94">
        <f>IF(K74="", "", _xll.EPMSaveData(X74, , $AA$19, $AA$20, $AA$21, $AA$22, $AA$23, $AA$24, $AA$25, G74, $P$132))</f>
        <v>0</v>
      </c>
    </row>
    <row r="75" spans="6:27" x14ac:dyDescent="0.25">
      <c r="F75" s="152" t="s">
        <v>234</v>
      </c>
      <c r="G75" s="91" t="s">
        <v>137</v>
      </c>
      <c r="I75" s="93" t="s">
        <v>32</v>
      </c>
      <c r="K75" s="137" t="str">
        <f xml:space="preserve"> _xll.EPMOlapMemberO("[TILI].[PARENTH1].[100047A]","","100047A","","000")</f>
        <v>100047A</v>
      </c>
      <c r="L75" s="92"/>
      <c r="M75" s="109" t="str">
        <f t="shared" si="1"/>
        <v>47</v>
      </c>
      <c r="N75" s="92" t="str">
        <f>_xll.EPMMemberProperty(, K75, "CALC")</f>
        <v>Y</v>
      </c>
      <c r="O75" s="93" t="str">
        <f>IF(I75="", _xll.EPMMemberDesc(K75), I75)</f>
        <v>Avustukset (470000-479999)</v>
      </c>
      <c r="P75" s="92"/>
      <c r="Q75" s="92"/>
      <c r="R75" s="92"/>
      <c r="S75" s="92"/>
      <c r="T75" s="92">
        <f t="shared" si="2"/>
        <v>0</v>
      </c>
      <c r="U75" s="92"/>
      <c r="V75" s="92">
        <f>_xll.EPMRetrieveData(, $V$19, $V$20, $V$21, $V$22, $V$23, $V$24, $V$25, G75, $P$132)</f>
        <v>0</v>
      </c>
      <c r="W75" s="92">
        <f t="shared" si="3"/>
        <v>0</v>
      </c>
      <c r="X75" s="92">
        <f>_xll.EPMRetrieveData(, $X$20, $X$21, $X$22, $X$23, $X$24, $X$25, G75, $P$132)</f>
        <v>0</v>
      </c>
      <c r="Y75" s="92">
        <f t="shared" si="4"/>
        <v>0</v>
      </c>
      <c r="Z75" s="88">
        <f>IF(K75="", "", _xll.EPMSaveData(V75, , $Z$19, $Z$20, $Z$21, $Z$22, $Z$23, $Z$24, $Z$25, G75, $P$132))</f>
        <v>0</v>
      </c>
      <c r="AA75" s="88">
        <f>IF(K75="", "", _xll.EPMSaveData(X75, , $AA$19, $AA$20, $AA$21, $AA$22, $AA$23, $AA$24, $AA$25, G75, $P$132))</f>
        <v>0</v>
      </c>
    </row>
    <row r="76" spans="6:27" x14ac:dyDescent="0.25">
      <c r="F76" s="152" t="s">
        <v>234</v>
      </c>
      <c r="G76" s="91" t="s">
        <v>138</v>
      </c>
      <c r="I76" s="96" t="s">
        <v>184</v>
      </c>
      <c r="K76" s="139" t="str">
        <f xml:space="preserve"> _xll.EPMOlapMemberO("[TILI].[PARENTH1].[1000470A]","","1000470A","","000")</f>
        <v>1000470A</v>
      </c>
      <c r="L76" s="94"/>
      <c r="M76" s="95" t="str">
        <f t="shared" si="1"/>
        <v>470</v>
      </c>
      <c r="N76" s="94" t="str">
        <f>_xll.EPMMemberProperty(, K76, "CALC")</f>
        <v>Y</v>
      </c>
      <c r="O76" s="96" t="str">
        <f>IF(I76="", _xll.EPMMemberDesc(K76), I76)</f>
        <v>Avustukset yksityisille</v>
      </c>
      <c r="P76" s="94"/>
      <c r="Q76" s="94"/>
      <c r="R76" s="94"/>
      <c r="S76" s="94"/>
      <c r="T76" s="94">
        <f t="shared" si="2"/>
        <v>0</v>
      </c>
      <c r="U76" s="110"/>
      <c r="V76" s="117">
        <f>_xll.EPMRetrieveData(, $V$19, $V$20, $V$21, $V$22, $V$23, $V$24, $V$25, G76, $P$132)</f>
        <v>0</v>
      </c>
      <c r="W76" s="116">
        <f t="shared" si="3"/>
        <v>0</v>
      </c>
      <c r="X76" s="113">
        <f>_xll.EPMRetrieveData(, $X$20, $X$21, $X$22, $X$23, $X$24, $X$25, G76, $P$132)</f>
        <v>0</v>
      </c>
      <c r="Y76" s="94">
        <f t="shared" si="4"/>
        <v>0</v>
      </c>
      <c r="Z76" s="94">
        <f>IF(K76="", "", _xll.EPMSaveData(V76, , $Z$19, $Z$20, $Z$21, $Z$22, $Z$23, $Z$24, $Z$25, G76, $P$132))</f>
        <v>0</v>
      </c>
      <c r="AA76" s="94">
        <f>IF(K76="", "", _xll.EPMSaveData(X76, , $AA$19, $AA$20, $AA$21, $AA$22, $AA$23, $AA$24, $AA$25, G76, $P$132))</f>
        <v>0</v>
      </c>
    </row>
    <row r="77" spans="6:27" x14ac:dyDescent="0.25">
      <c r="F77" s="152" t="s">
        <v>234</v>
      </c>
      <c r="G77" s="91" t="s">
        <v>139</v>
      </c>
      <c r="I77" s="96" t="s">
        <v>185</v>
      </c>
      <c r="K77" s="139" t="str">
        <f xml:space="preserve"> _xll.EPMOlapMemberO("[TILI].[PARENTH1].[1000474A]","","1000474A","","000")</f>
        <v>1000474A</v>
      </c>
      <c r="L77" s="94"/>
      <c r="M77" s="95" t="str">
        <f t="shared" si="1"/>
        <v>474</v>
      </c>
      <c r="N77" s="94" t="str">
        <f>_xll.EPMMemberProperty(, K77, "CALC")</f>
        <v>Y</v>
      </c>
      <c r="O77" s="96" t="str">
        <f>IF(I77="", _xll.EPMMemberDesc(K77), I77)</f>
        <v>Avustukset yhteisöille</v>
      </c>
      <c r="P77" s="94"/>
      <c r="Q77" s="94"/>
      <c r="R77" s="94"/>
      <c r="S77" s="94"/>
      <c r="T77" s="94">
        <f t="shared" si="2"/>
        <v>0</v>
      </c>
      <c r="U77" s="112"/>
      <c r="V77" s="118">
        <f>_xll.EPMRetrieveData(, $V$19, $V$20, $V$21, $V$22, $V$23, $V$24, $V$25, G77, $P$132)</f>
        <v>0</v>
      </c>
      <c r="W77" s="115">
        <f t="shared" si="3"/>
        <v>0</v>
      </c>
      <c r="X77" s="114">
        <f>_xll.EPMRetrieveData(, $X$20, $X$21, $X$22, $X$23, $X$24, $X$25, G77, $P$132)</f>
        <v>0</v>
      </c>
      <c r="Y77" s="94">
        <f t="shared" si="4"/>
        <v>0</v>
      </c>
      <c r="Z77" s="94">
        <f>IF(K77="", "", _xll.EPMSaveData(V77, , $Z$19, $Z$20, $Z$21, $Z$22, $Z$23, $Z$24, $Z$25, G77, $P$132))</f>
        <v>0</v>
      </c>
      <c r="AA77" s="94">
        <f>IF(K77="", "", _xll.EPMSaveData(X77, , $AA$19, $AA$20, $AA$21, $AA$22, $AA$23, $AA$24, $AA$25, G77, $P$132))</f>
        <v>0</v>
      </c>
    </row>
    <row r="78" spans="6:27" x14ac:dyDescent="0.25">
      <c r="F78" s="152" t="s">
        <v>234</v>
      </c>
      <c r="G78" s="91" t="s">
        <v>140</v>
      </c>
      <c r="I78" s="96" t="s">
        <v>186</v>
      </c>
      <c r="K78" s="139" t="str">
        <f xml:space="preserve"> _xll.EPMOlapMemberO("[TILI].[PARENTH1].[1000475A]","","1000475A","","000")</f>
        <v>1000475A</v>
      </c>
      <c r="L78" s="94"/>
      <c r="M78" s="95" t="str">
        <f t="shared" si="1"/>
        <v>475</v>
      </c>
      <c r="N78" s="94" t="str">
        <f>_xll.EPMMemberProperty(, K78, "CALC")</f>
        <v>Y</v>
      </c>
      <c r="O78" s="96" t="str">
        <f>IF(I78="", _xll.EPMMemberDesc(K78), I78)</f>
        <v>Avustukset taseyksiköille</v>
      </c>
      <c r="P78" s="94"/>
      <c r="Q78" s="94"/>
      <c r="R78" s="94"/>
      <c r="S78" s="94"/>
      <c r="T78" s="94">
        <f t="shared" si="2"/>
        <v>0</v>
      </c>
      <c r="U78" s="112"/>
      <c r="V78" s="118">
        <f>_xll.EPMRetrieveData(, $V$19, $V$20, $V$21, $V$22, $V$23, $V$24, $V$25, G78, $P$132)</f>
        <v>0</v>
      </c>
      <c r="W78" s="115">
        <f t="shared" si="3"/>
        <v>0</v>
      </c>
      <c r="X78" s="114">
        <f>_xll.EPMRetrieveData(, $X$20, $X$21, $X$22, $X$23, $X$24, $X$25, G78, $P$132)</f>
        <v>0</v>
      </c>
      <c r="Y78" s="94">
        <f t="shared" si="4"/>
        <v>0</v>
      </c>
      <c r="Z78" s="94">
        <f>IF(K78="", "", _xll.EPMSaveData(V78, , $Z$19, $Z$20, $Z$21, $Z$22, $Z$23, $Z$24, $Z$25, G78, $P$132))</f>
        <v>0</v>
      </c>
      <c r="AA78" s="94">
        <f>IF(K78="", "", _xll.EPMSaveData(X78, , $AA$19, $AA$20, $AA$21, $AA$22, $AA$23, $AA$24, $AA$25, G78, $P$132))</f>
        <v>0</v>
      </c>
    </row>
    <row r="79" spans="6:27" x14ac:dyDescent="0.25">
      <c r="F79" s="152" t="s">
        <v>234</v>
      </c>
      <c r="G79" s="91" t="s">
        <v>141</v>
      </c>
      <c r="I79" s="93" t="s">
        <v>33</v>
      </c>
      <c r="K79" s="137" t="str">
        <f xml:space="preserve"> _xll.EPMOlapMemberO("[TILI].[PARENTH1].[100048A]","","100048A","","000")</f>
        <v>100048A</v>
      </c>
      <c r="L79" s="92"/>
      <c r="M79" s="109" t="str">
        <f t="shared" si="1"/>
        <v>48</v>
      </c>
      <c r="N79" s="92" t="str">
        <f>_xll.EPMMemberProperty(, K79, "CALC")</f>
        <v>Y</v>
      </c>
      <c r="O79" s="93" t="str">
        <f>IF(I79="", _xll.EPMMemberDesc(K79), I79)</f>
        <v>Muut toimintakulut (480000-499999)</v>
      </c>
      <c r="P79" s="92">
        <v>478.58</v>
      </c>
      <c r="Q79" s="92">
        <v>1139.0000004000001</v>
      </c>
      <c r="R79" s="92"/>
      <c r="S79" s="92"/>
      <c r="T79" s="92">
        <f t="shared" si="2"/>
        <v>1139.0000004000001</v>
      </c>
      <c r="U79" s="92">
        <v>170</v>
      </c>
      <c r="V79" s="92">
        <f>_xll.EPMRetrieveData(, $V$19, $V$20, $V$21, $V$22, $V$23, $V$24, $V$25, G79, $P$132)</f>
        <v>0</v>
      </c>
      <c r="W79" s="92">
        <f t="shared" si="3"/>
        <v>170</v>
      </c>
      <c r="X79" s="92">
        <f>_xll.EPMRetrieveData(, $X$20, $X$21, $X$22, $X$23, $X$24, $X$25, G79, $P$132)</f>
        <v>1139</v>
      </c>
      <c r="Y79" s="92">
        <f t="shared" si="4"/>
        <v>4.0000008993956726E-7</v>
      </c>
      <c r="Z79" s="88">
        <f>IF(K79="", "", _xll.EPMSaveData(V79, , $Z$19, $Z$20, $Z$21, $Z$22, $Z$23, $Z$24, $Z$25, G79, $P$132))</f>
        <v>0</v>
      </c>
      <c r="AA79" s="88">
        <f>IF(K79="", "", _xll.EPMSaveData(X79, , $AA$19, $AA$20, $AA$21, $AA$22, $AA$23, $AA$24, $AA$25, G79, $P$132))</f>
        <v>1139</v>
      </c>
    </row>
    <row r="80" spans="6:27" x14ac:dyDescent="0.25">
      <c r="F80" s="152" t="s">
        <v>234</v>
      </c>
      <c r="G80" s="91" t="s">
        <v>142</v>
      </c>
      <c r="I80" s="96" t="s">
        <v>187</v>
      </c>
      <c r="K80" s="139" t="str">
        <f xml:space="preserve"> _xll.EPMOlapMemberO("[TILI].[PARENTH1].[1000480A]","","1000480A","","000")</f>
        <v>1000480A</v>
      </c>
      <c r="L80" s="94"/>
      <c r="M80" s="95" t="str">
        <f t="shared" si="1"/>
        <v>480</v>
      </c>
      <c r="N80" s="94" t="str">
        <f>_xll.EPMMemberProperty(, K80, "CALC")</f>
        <v>Y</v>
      </c>
      <c r="O80" s="96" t="str">
        <f>IF(I80="", _xll.EPMMemberDesc(K80), I80)</f>
        <v>Vuokrat</v>
      </c>
      <c r="P80" s="94"/>
      <c r="Q80" s="94">
        <v>249.9999996</v>
      </c>
      <c r="R80" s="94"/>
      <c r="S80" s="94"/>
      <c r="T80" s="94">
        <f t="shared" si="2"/>
        <v>249.9999996</v>
      </c>
      <c r="U80" s="110">
        <v>170</v>
      </c>
      <c r="V80" s="113">
        <f>_xll.EPMRetrieveData(, $V$19, $V$20, $V$21, $V$22, $V$23, $V$24, $V$25, G80, $P$132)</f>
        <v>0</v>
      </c>
      <c r="W80" s="116">
        <f t="shared" si="3"/>
        <v>170</v>
      </c>
      <c r="X80" s="113">
        <f>_xll.EPMRetrieveData(, $X$20, $X$21, $X$22, $X$23, $X$24, $X$25, G80, $P$132)</f>
        <v>250</v>
      </c>
      <c r="Y80" s="94">
        <f t="shared" si="4"/>
        <v>-4.0000000467443897E-7</v>
      </c>
      <c r="Z80" s="94">
        <f>IF(K80="", "", _xll.EPMSaveData(V80, , $Z$19, $Z$20, $Z$21, $Z$22, $Z$23, $Z$24, $Z$25, G80, $P$132))</f>
        <v>0</v>
      </c>
      <c r="AA80" s="94">
        <f>IF(K80="", "", _xll.EPMSaveData(X80, , $AA$19, $AA$20, $AA$21, $AA$22, $AA$23, $AA$24, $AA$25, G80, $P$132))</f>
        <v>250</v>
      </c>
    </row>
    <row r="81" spans="6:27" x14ac:dyDescent="0.25">
      <c r="F81" s="152" t="s">
        <v>234</v>
      </c>
      <c r="G81" s="91" t="s">
        <v>143</v>
      </c>
      <c r="I81" s="96" t="s">
        <v>188</v>
      </c>
      <c r="K81" s="139" t="str">
        <f xml:space="preserve"> _xll.EPMOlapMemberO("[TILI].[PARENTH1].[1000490A]","","1000490A","","000")</f>
        <v>1000490A</v>
      </c>
      <c r="L81" s="94"/>
      <c r="M81" s="95" t="str">
        <f t="shared" si="1"/>
        <v>490</v>
      </c>
      <c r="N81" s="94" t="str">
        <f>_xll.EPMMemberProperty(, K81, "CALC")</f>
        <v>Y</v>
      </c>
      <c r="O81" s="96" t="str">
        <f>IF(I81="", _xll.EPMMemberDesc(K81), I81)</f>
        <v>Muut toimintakulut</v>
      </c>
      <c r="P81" s="94">
        <v>478.58</v>
      </c>
      <c r="Q81" s="94">
        <v>889.00000079999995</v>
      </c>
      <c r="R81" s="94"/>
      <c r="S81" s="94"/>
      <c r="T81" s="94">
        <f t="shared" si="2"/>
        <v>889.00000079999995</v>
      </c>
      <c r="U81" s="112"/>
      <c r="V81" s="114">
        <f>_xll.EPMRetrieveData(, $V$19, $V$20, $V$21, $V$22, $V$23, $V$24, $V$25, G81, $P$132)</f>
        <v>0</v>
      </c>
      <c r="W81" s="115">
        <f t="shared" si="3"/>
        <v>0</v>
      </c>
      <c r="X81" s="114">
        <f>_xll.EPMRetrieveData(, $X$20, $X$21, $X$22, $X$23, $X$24, $X$25, G81, $P$132)</f>
        <v>889</v>
      </c>
      <c r="Y81" s="94">
        <f t="shared" si="4"/>
        <v>7.9999995250545908E-7</v>
      </c>
      <c r="Z81" s="94">
        <f>IF(K81="", "", _xll.EPMSaveData(V81, , $Z$19, $Z$20, $Z$21, $Z$22, $Z$23, $Z$24, $Z$25, G81, $P$132))</f>
        <v>0</v>
      </c>
      <c r="AA81" s="94">
        <f>IF(K81="", "", _xll.EPMSaveData(X81, , $AA$19, $AA$20, $AA$21, $AA$22, $AA$23, $AA$24, $AA$25, G81, $P$132))</f>
        <v>889</v>
      </c>
    </row>
    <row r="82" spans="6:27" x14ac:dyDescent="0.25">
      <c r="F82" s="152"/>
      <c r="G82" s="91" t="s">
        <v>100</v>
      </c>
      <c r="I82" s="89" t="s">
        <v>100</v>
      </c>
      <c r="K82" s="86" t="str">
        <f xml:space="preserve"> _xll.FPMXLClient.TechnicalCategory.EPMLocalMember("","005","000")</f>
        <v/>
      </c>
      <c r="L82" s="88"/>
      <c r="M82" s="89" t="str">
        <f t="shared" si="1"/>
        <v/>
      </c>
      <c r="N82" s="88" t="str">
        <f>_xll.EPMMemberProperty(, K82, "CALC")</f>
        <v/>
      </c>
      <c r="O82" s="89" t="str">
        <f>IF(I82="", _xll.EPMMemberDesc(K82), I82)</f>
        <v/>
      </c>
      <c r="P82" s="90"/>
      <c r="Q82" s="90"/>
      <c r="R82" s="90"/>
      <c r="S82" s="90"/>
      <c r="T82" s="90">
        <f t="shared" si="2"/>
        <v>0</v>
      </c>
      <c r="U82" s="90"/>
      <c r="V82" s="90">
        <f>_xll.EPMRetrieveData(, $V$19, $V$20, $V$21, $V$22, $V$23, $V$24, $V$25, G82, $P$132)</f>
        <v>0</v>
      </c>
      <c r="W82" s="90">
        <f t="shared" si="3"/>
        <v>0</v>
      </c>
      <c r="X82" s="90">
        <f>_xll.EPMRetrieveData(, $X$20, $X$21, $X$22, $X$23, $X$24, $X$25, G82, $P$132)</f>
        <v>0</v>
      </c>
      <c r="Y82" s="90">
        <f t="shared" si="4"/>
        <v>0</v>
      </c>
      <c r="Z82" s="90" t="str">
        <f>IF(K82="", "", _xll.EPMSaveData(V82, , $Z$19, $Z$20, $Z$21, $Z$22, $Z$23, $Z$24, $Z$25, G82, $P$132))</f>
        <v/>
      </c>
      <c r="AA82" s="90" t="str">
        <f>IF(K82="", "", _xll.EPMSaveData(X82, , $AA$19, $AA$20, $AA$21, $AA$22, $AA$23, $AA$24, $AA$25, G82, $P$132))</f>
        <v/>
      </c>
    </row>
    <row r="83" spans="6:27" x14ac:dyDescent="0.25">
      <c r="F83" s="152" t="s">
        <v>234</v>
      </c>
      <c r="G83" s="91" t="s">
        <v>100</v>
      </c>
      <c r="I83" s="98" t="s">
        <v>74</v>
      </c>
      <c r="K83" s="86" t="str">
        <f xml:space="preserve"> _xll.FPMXLClient.TechnicalCategory.EPMLocalMember("","012","000")</f>
        <v/>
      </c>
      <c r="L83" s="88"/>
      <c r="M83" s="97" t="str">
        <f t="shared" si="1"/>
        <v/>
      </c>
      <c r="N83" s="97" t="str">
        <f>_xll.EPMMemberProperty(, K83, "CALC")</f>
        <v/>
      </c>
      <c r="O83" s="98" t="str">
        <f>IF(I83="", _xll.EPMMemberDesc(K83), I83)</f>
        <v>TOIMINTAMENOT YHTEENSÄ</v>
      </c>
      <c r="P83" s="97">
        <f t="shared" ref="M83:AA83" si="6">P64+P69+P72+P75+P79</f>
        <v>442520.77</v>
      </c>
      <c r="Q83" s="97">
        <f t="shared" si="6"/>
        <v>491999.4019992</v>
      </c>
      <c r="R83" s="97">
        <f t="shared" si="6"/>
        <v>0</v>
      </c>
      <c r="S83" s="97">
        <f t="shared" si="6"/>
        <v>0</v>
      </c>
      <c r="T83" s="97">
        <f t="shared" si="2"/>
        <v>491999.4019992</v>
      </c>
      <c r="U83" s="97">
        <f t="shared" si="6"/>
        <v>241125.15</v>
      </c>
      <c r="V83" s="97">
        <f>V64+V69+V72+V75+V79</f>
        <v>0</v>
      </c>
      <c r="W83" s="97">
        <f t="shared" si="3"/>
        <v>241125.15</v>
      </c>
      <c r="X83" s="97">
        <f>X64+X69+X72+X75+X79</f>
        <v>492000</v>
      </c>
      <c r="Y83" s="97">
        <f t="shared" si="4"/>
        <v>-0.59800080000422895</v>
      </c>
      <c r="Z83" s="97" t="str">
        <f>IF(K83="", "", _xll.EPMSaveData(V83, , $Z$19, $Z$20, $Z$21, $Z$22, $Z$23, $Z$24, $Z$25, G83, $P$132))</f>
        <v/>
      </c>
      <c r="AA83" s="97" t="str">
        <f>IF(K83="", "", _xll.EPMSaveData(X83, , $AA$19, $AA$20, $AA$21, $AA$22, $AA$23, $AA$24, $AA$25, G83, $P$132))</f>
        <v/>
      </c>
    </row>
    <row r="84" spans="6:27" x14ac:dyDescent="0.25">
      <c r="F84" s="152"/>
      <c r="G84" s="91" t="s">
        <v>100</v>
      </c>
      <c r="I84" s="89" t="s">
        <v>100</v>
      </c>
      <c r="K84" s="86" t="str">
        <f xml:space="preserve"> _xll.FPMXLClient.TechnicalCategory.EPMLocalMember("","013","000")</f>
        <v/>
      </c>
      <c r="L84" s="88"/>
      <c r="M84" s="89" t="str">
        <f t="shared" si="1"/>
        <v/>
      </c>
      <c r="N84" s="88" t="str">
        <f>_xll.EPMMemberProperty(, K84, "CALC")</f>
        <v/>
      </c>
      <c r="O84" s="89" t="str">
        <f>IF(I84="", _xll.EPMMemberDesc(K84), I84)</f>
        <v/>
      </c>
      <c r="P84" s="90"/>
      <c r="Q84" s="90"/>
      <c r="R84" s="90"/>
      <c r="S84" s="90"/>
      <c r="T84" s="90">
        <f t="shared" si="2"/>
        <v>0</v>
      </c>
      <c r="U84" s="90"/>
      <c r="V84" s="90">
        <f>_xll.EPMRetrieveData(, $V$19, $V$20, $V$21, $V$22, $V$23, $V$24, $V$25, G84, $P$132)</f>
        <v>0</v>
      </c>
      <c r="W84" s="90">
        <f t="shared" si="3"/>
        <v>0</v>
      </c>
      <c r="X84" s="90">
        <f>_xll.EPMRetrieveData(, $X$20, $X$21, $X$22, $X$23, $X$24, $X$25, G84, $P$132)</f>
        <v>0</v>
      </c>
      <c r="Y84" s="90">
        <f t="shared" si="4"/>
        <v>0</v>
      </c>
      <c r="Z84" s="90" t="str">
        <f>IF(K84="", "", _xll.EPMSaveData(V84, , $Z$19, $Z$20, $Z$21, $Z$22, $Z$23, $Z$24, $Z$25, G84, $P$132))</f>
        <v/>
      </c>
      <c r="AA84" s="90" t="str">
        <f>IF(K84="", "", _xll.EPMSaveData(X84, , $AA$19, $AA$20, $AA$21, $AA$22, $AA$23, $AA$24, $AA$25, G84, $P$132))</f>
        <v/>
      </c>
    </row>
    <row r="85" spans="6:27" ht="16.5" thickBot="1" x14ac:dyDescent="0.3">
      <c r="F85" s="152" t="s">
        <v>233</v>
      </c>
      <c r="G85" s="91" t="s">
        <v>100</v>
      </c>
      <c r="I85" s="103" t="s">
        <v>75</v>
      </c>
      <c r="K85" s="86" t="str">
        <f xml:space="preserve"> _xll.FPMXLClient.TechnicalCategory.EPMLocalMember("","014","000")</f>
        <v/>
      </c>
      <c r="L85" s="88"/>
      <c r="M85" s="102" t="str">
        <f t="shared" si="1"/>
        <v/>
      </c>
      <c r="N85" s="102" t="str">
        <f>_xll.EPMMemberProperty(, K85, "CALC")</f>
        <v/>
      </c>
      <c r="O85" s="103" t="str">
        <f>IF(I85="", _xll.EPMMemberDesc(K85), I85)</f>
        <v>TOIMINTAKATE</v>
      </c>
      <c r="P85" s="102">
        <f t="shared" ref="M85:AA85" si="7">P58+P60-P83</f>
        <v>-442520.77</v>
      </c>
      <c r="Q85" s="102">
        <f t="shared" si="7"/>
        <v>-491999.4019992</v>
      </c>
      <c r="R85" s="102">
        <f t="shared" si="7"/>
        <v>0</v>
      </c>
      <c r="S85" s="102">
        <f t="shared" si="7"/>
        <v>0</v>
      </c>
      <c r="T85" s="102">
        <f t="shared" si="2"/>
        <v>-491999.4019992</v>
      </c>
      <c r="U85" s="102">
        <f t="shared" si="7"/>
        <v>-241125.15</v>
      </c>
      <c r="V85" s="102">
        <f>V58+V60-V83</f>
        <v>0</v>
      </c>
      <c r="W85" s="102">
        <f t="shared" si="3"/>
        <v>-241125.15</v>
      </c>
      <c r="X85" s="102">
        <f>X58+X60-X83</f>
        <v>-492000</v>
      </c>
      <c r="Y85" s="102">
        <f t="shared" si="4"/>
        <v>-0.59800080000422895</v>
      </c>
      <c r="Z85" s="104" t="str">
        <f>IF(K85="", "", _xll.EPMSaveData(V85, , $Z$19, $Z$20, $Z$21, $Z$22, $Z$23, $Z$24, $Z$25, G85, $P$132))</f>
        <v/>
      </c>
      <c r="AA85" s="104" t="str">
        <f>IF(K85="", "", _xll.EPMSaveData(X85, , $AA$19, $AA$20, $AA$21, $AA$22, $AA$23, $AA$24, $AA$25, G85, $P$132))</f>
        <v/>
      </c>
    </row>
    <row r="86" spans="6:27" ht="15.75" thickTop="1" x14ac:dyDescent="0.25">
      <c r="F86" s="152" t="s">
        <v>233</v>
      </c>
      <c r="G86" s="91" t="s">
        <v>101</v>
      </c>
      <c r="I86" s="93" t="s">
        <v>34</v>
      </c>
      <c r="K86" s="137" t="str">
        <f xml:space="preserve"> _xll.EPMOlapMemberO("[TILI].[PARENTH1].[1000500A]","","1000500A","","000")</f>
        <v>1000500A</v>
      </c>
      <c r="L86" s="92"/>
      <c r="M86" s="109" t="str">
        <f t="shared" si="1"/>
        <v>500</v>
      </c>
      <c r="N86" s="92" t="str">
        <f>_xll.EPMMemberProperty(, K86, "CALC")</f>
        <v>Y</v>
      </c>
      <c r="O86" s="93" t="str">
        <f>IF(I86="", _xll.EPMMemberDesc(K86), I86)</f>
        <v>Verotulot</v>
      </c>
      <c r="P86" s="92"/>
      <c r="Q86" s="92"/>
      <c r="R86" s="92"/>
      <c r="S86" s="92"/>
      <c r="T86" s="92">
        <f t="shared" si="2"/>
        <v>0</v>
      </c>
      <c r="U86" s="92"/>
      <c r="V86" s="92">
        <f>_xll.EPMRetrieveData(, $V$19, $V$20, $V$21, $V$22, $V$23, $V$24, $V$25, G86, $P$132)</f>
        <v>0</v>
      </c>
      <c r="W86" s="92">
        <f t="shared" si="3"/>
        <v>0</v>
      </c>
      <c r="X86" s="92">
        <f>_xll.EPMRetrieveData(, $X$20, $X$21, $X$22, $X$23, $X$24, $X$25, G86, $P$132)</f>
        <v>0</v>
      </c>
      <c r="Y86" s="92">
        <f t="shared" si="4"/>
        <v>0</v>
      </c>
      <c r="Z86" s="88">
        <f>IF(K86="", "", _xll.EPMSaveData(V86, , $Z$19, $Z$20, $Z$21, $Z$22, $Z$23, $Z$24, $Z$25, G86, $P$132))</f>
        <v>0</v>
      </c>
      <c r="AA86" s="88">
        <f>IF(K86="", "", _xll.EPMSaveData(X86, , $AA$19, $AA$20, $AA$21, $AA$22, $AA$23, $AA$24, $AA$25, G86, $P$132))</f>
        <v>0</v>
      </c>
    </row>
    <row r="87" spans="6:27" x14ac:dyDescent="0.25">
      <c r="F87" s="152" t="s">
        <v>233</v>
      </c>
      <c r="G87" s="91" t="s">
        <v>102</v>
      </c>
      <c r="I87" s="106" t="s">
        <v>189</v>
      </c>
      <c r="K87" s="139" t="str">
        <f xml:space="preserve"> _xll.EPMOlapMemberO("[TILI].[PARENTH1].[500000]","","500000","","000")</f>
        <v>500000</v>
      </c>
      <c r="L87" s="87"/>
      <c r="M87" s="105" t="str">
        <f t="shared" si="1"/>
        <v>500000</v>
      </c>
      <c r="N87" s="87" t="str">
        <f>_xll.EPMMemberProperty(, K87, "CALC")</f>
        <v>N</v>
      </c>
      <c r="O87" s="106" t="str">
        <f>IF(I87="", _xll.EPMMemberDesc(K87), I87)</f>
        <v>Kunnan tulovero</v>
      </c>
      <c r="P87" s="87"/>
      <c r="Q87" s="87"/>
      <c r="R87" s="87"/>
      <c r="S87" s="87"/>
      <c r="T87" s="87">
        <f t="shared" si="2"/>
        <v>0</v>
      </c>
      <c r="U87" s="126"/>
      <c r="V87" s="125">
        <f>_xll.EPMRetrieveData(, $V$19, $V$20, $V$21, $V$22, $V$23, $V$24, $V$25, G87, $P$132)</f>
        <v>0</v>
      </c>
      <c r="W87" s="128">
        <f t="shared" si="3"/>
        <v>0</v>
      </c>
      <c r="X87" s="122">
        <f>_xll.EPMRetrieveData(, $X$20, $X$21, $X$22, $X$23, $X$24, $X$25, G87, $P$132)</f>
        <v>0</v>
      </c>
      <c r="Y87" s="87">
        <f t="shared" si="4"/>
        <v>0</v>
      </c>
      <c r="Z87" s="87">
        <f>IF(K87="", "", _xll.EPMSaveData(V87, , $Z$19, $Z$20, $Z$21, $Z$22, $Z$23, $Z$24, $Z$25, G87, $P$132))</f>
        <v>0</v>
      </c>
      <c r="AA87" s="87">
        <f>IF(K87="", "", _xll.EPMSaveData(X87, , $AA$19, $AA$20, $AA$21, $AA$22, $AA$23, $AA$24, $AA$25, G87, $P$132))</f>
        <v>0</v>
      </c>
    </row>
    <row r="88" spans="6:27" x14ac:dyDescent="0.25">
      <c r="F88" s="152" t="s">
        <v>233</v>
      </c>
      <c r="G88" s="91" t="s">
        <v>103</v>
      </c>
      <c r="I88" s="106" t="s">
        <v>190</v>
      </c>
      <c r="K88" s="139" t="str">
        <f xml:space="preserve"> _xll.EPMOlapMemberO("[TILI].[PARENTH1].[510000]","","510000","","000")</f>
        <v>510000</v>
      </c>
      <c r="L88" s="87"/>
      <c r="M88" s="105" t="str">
        <f t="shared" si="1"/>
        <v>510000</v>
      </c>
      <c r="N88" s="87" t="str">
        <f>_xll.EPMMemberProperty(, K88, "CALC")</f>
        <v>N</v>
      </c>
      <c r="O88" s="106" t="str">
        <f>IF(I88="", _xll.EPMMemberDesc(K88), I88)</f>
        <v>Kiinteistövero</v>
      </c>
      <c r="P88" s="87"/>
      <c r="Q88" s="87"/>
      <c r="R88" s="87"/>
      <c r="S88" s="87"/>
      <c r="T88" s="87">
        <f t="shared" si="2"/>
        <v>0</v>
      </c>
      <c r="U88" s="124"/>
      <c r="V88" s="127">
        <f>_xll.EPMRetrieveData(, $V$19, $V$20, $V$21, $V$22, $V$23, $V$24, $V$25, G88, $P$132)</f>
        <v>0</v>
      </c>
      <c r="W88" s="129">
        <f t="shared" si="3"/>
        <v>0</v>
      </c>
      <c r="X88" s="127">
        <f>_xll.EPMRetrieveData(, $X$20, $X$21, $X$22, $X$23, $X$24, $X$25, G88, $P$132)</f>
        <v>0</v>
      </c>
      <c r="Y88" s="87">
        <f t="shared" si="4"/>
        <v>0</v>
      </c>
      <c r="Z88" s="87">
        <f>IF(K88="", "", _xll.EPMSaveData(V88, , $Z$19, $Z$20, $Z$21, $Z$22, $Z$23, $Z$24, $Z$25, G88, $P$132))</f>
        <v>0</v>
      </c>
      <c r="AA88" s="87">
        <f>IF(K88="", "", _xll.EPMSaveData(X88, , $AA$19, $AA$20, $AA$21, $AA$22, $AA$23, $AA$24, $AA$25, G88, $P$132))</f>
        <v>0</v>
      </c>
    </row>
    <row r="89" spans="6:27" x14ac:dyDescent="0.25">
      <c r="F89" s="152" t="s">
        <v>233</v>
      </c>
      <c r="G89" s="91" t="s">
        <v>104</v>
      </c>
      <c r="I89" s="106" t="s">
        <v>191</v>
      </c>
      <c r="K89" s="139" t="str">
        <f xml:space="preserve"> _xll.EPMOlapMemberO("[TILI].[PARENTH1].[520000]","","520000","","000")</f>
        <v>520000</v>
      </c>
      <c r="L89" s="87"/>
      <c r="M89" s="105" t="str">
        <f t="shared" si="1"/>
        <v>520000</v>
      </c>
      <c r="N89" s="87" t="str">
        <f>_xll.EPMMemberProperty(, K89, "CALC")</f>
        <v>N</v>
      </c>
      <c r="O89" s="106" t="str">
        <f>IF(I89="", _xll.EPMMemberDesc(K89), I89)</f>
        <v>Osuus yhteisöveron tuotosta</v>
      </c>
      <c r="P89" s="87"/>
      <c r="Q89" s="87"/>
      <c r="R89" s="87"/>
      <c r="S89" s="87"/>
      <c r="T89" s="87">
        <f t="shared" si="2"/>
        <v>0</v>
      </c>
      <c r="U89" s="124"/>
      <c r="V89" s="127">
        <f>_xll.EPMRetrieveData(, $V$19, $V$20, $V$21, $V$22, $V$23, $V$24, $V$25, G89, $P$132)</f>
        <v>0</v>
      </c>
      <c r="W89" s="129">
        <f t="shared" si="3"/>
        <v>0</v>
      </c>
      <c r="X89" s="127">
        <f>_xll.EPMRetrieveData(, $X$20, $X$21, $X$22, $X$23, $X$24, $X$25, G89, $P$132)</f>
        <v>0</v>
      </c>
      <c r="Y89" s="87">
        <f t="shared" si="4"/>
        <v>0</v>
      </c>
      <c r="Z89" s="87">
        <f>IF(K89="", "", _xll.EPMSaveData(V89, , $Z$19, $Z$20, $Z$21, $Z$22, $Z$23, $Z$24, $Z$25, G89, $P$132))</f>
        <v>0</v>
      </c>
      <c r="AA89" s="87">
        <f>IF(K89="", "", _xll.EPMSaveData(X89, , $AA$19, $AA$20, $AA$21, $AA$22, $AA$23, $AA$24, $AA$25, G89, $P$132))</f>
        <v>0</v>
      </c>
    </row>
    <row r="90" spans="6:27" x14ac:dyDescent="0.25">
      <c r="F90" s="152" t="s">
        <v>233</v>
      </c>
      <c r="G90" s="77" t="s">
        <v>105</v>
      </c>
      <c r="I90" s="106" t="s">
        <v>192</v>
      </c>
      <c r="K90" s="139" t="str">
        <f xml:space="preserve"> _xll.EPMOlapMemberO("[TILI].[PARENTH1].[530000]","","530000","","000")</f>
        <v>530000</v>
      </c>
      <c r="L90" s="87"/>
      <c r="M90" s="105" t="str">
        <f t="shared" si="1"/>
        <v>530000</v>
      </c>
      <c r="N90" s="87" t="str">
        <f>_xll.EPMMemberProperty(, K90, "CALC")</f>
        <v>N</v>
      </c>
      <c r="O90" s="106" t="str">
        <f>IF(I90="", _xll.EPMMemberDesc(K90), I90)</f>
        <v>Koiravero</v>
      </c>
      <c r="P90" s="87"/>
      <c r="Q90" s="87"/>
      <c r="R90" s="87"/>
      <c r="S90" s="87"/>
      <c r="T90" s="87">
        <f t="shared" si="2"/>
        <v>0</v>
      </c>
      <c r="U90" s="124"/>
      <c r="V90" s="127">
        <f>_xll.EPMRetrieveData(, $V$19, $V$20, $V$21, $V$22, $V$23, $V$24, $V$25, G90, $P$132)</f>
        <v>0</v>
      </c>
      <c r="W90" s="129">
        <f t="shared" si="3"/>
        <v>0</v>
      </c>
      <c r="X90" s="127">
        <f>_xll.EPMRetrieveData(, $X$20, $X$21, $X$22, $X$23, $X$24, $X$25, G90, $P$132)</f>
        <v>0</v>
      </c>
      <c r="Y90" s="87">
        <f t="shared" si="4"/>
        <v>0</v>
      </c>
      <c r="Z90" s="87">
        <f>IF(K90="", "", _xll.EPMSaveData(V90, , $Z$19, $Z$20, $Z$21, $Z$22, $Z$23, $Z$24, $Z$25, G90, $P$132))</f>
        <v>0</v>
      </c>
      <c r="AA90" s="87">
        <f>IF(K90="", "", _xll.EPMSaveData(X90, , $AA$19, $AA$20, $AA$21, $AA$22, $AA$23, $AA$24, $AA$25, G90, $P$132))</f>
        <v>0</v>
      </c>
    </row>
    <row r="91" spans="6:27" x14ac:dyDescent="0.25">
      <c r="F91" s="152" t="s">
        <v>233</v>
      </c>
      <c r="G91" s="77" t="s">
        <v>144</v>
      </c>
      <c r="I91" s="93" t="s">
        <v>193</v>
      </c>
      <c r="K91" s="137" t="str">
        <f xml:space="preserve"> _xll.EPMOlapMemberO("[TILI].[PARENTH1].[1000550A]","","1000550A","","000")</f>
        <v>1000550A</v>
      </c>
      <c r="L91" s="92"/>
      <c r="M91" s="151" t="str">
        <f t="shared" si="1"/>
        <v>550</v>
      </c>
      <c r="N91" s="92" t="str">
        <f>_xll.EPMMemberProperty(, K91, "CALC")</f>
        <v>Y</v>
      </c>
      <c r="O91" s="93" t="str">
        <f>IF(I91="", _xll.EPMMemberDesc(K91), I91)</f>
        <v>Valtionosuudet</v>
      </c>
      <c r="P91" s="74"/>
      <c r="Q91" s="74"/>
      <c r="R91" s="74"/>
      <c r="S91" s="74"/>
      <c r="T91" s="74">
        <f t="shared" si="2"/>
        <v>0</v>
      </c>
      <c r="U91" s="74"/>
      <c r="V91" s="127">
        <f>_xll.EPMRetrieveData(, $V$19, $V$20, $V$21, $V$22, $V$23, $V$24, $V$25, G91, $P$132)</f>
        <v>0</v>
      </c>
      <c r="W91" s="74">
        <f t="shared" si="3"/>
        <v>0</v>
      </c>
      <c r="X91" s="127">
        <f>_xll.EPMRetrieveData(, $X$20, $X$21, $X$22, $X$23, $X$24, $X$25, G91, $P$132)</f>
        <v>0</v>
      </c>
      <c r="Y91" s="92">
        <f t="shared" si="4"/>
        <v>0</v>
      </c>
      <c r="Z91" s="88">
        <f>IF(K91="", "", _xll.EPMSaveData(V91, , $Z$19, $Z$20, $Z$21, $Z$22, $Z$23, $Z$24, $Z$25, G91, $P$132))</f>
        <v>0</v>
      </c>
      <c r="AA91" s="88">
        <f>IF(K91="", "", _xll.EPMSaveData(X91, , $AA$19, $AA$20, $AA$21, $AA$22, $AA$23, $AA$24, $AA$25, G91, $P$132))</f>
        <v>0</v>
      </c>
    </row>
    <row r="92" spans="6:27" x14ac:dyDescent="0.25">
      <c r="F92" s="152" t="s">
        <v>233</v>
      </c>
      <c r="G92" s="77" t="s">
        <v>145</v>
      </c>
      <c r="I92" s="93" t="s">
        <v>194</v>
      </c>
      <c r="K92" s="141" t="str">
        <f xml:space="preserve"> _xll.EPMOlapMemberO("[TILI].[PARENTH1].[100060A]","","100060A","","000")</f>
        <v>100060A</v>
      </c>
      <c r="L92" s="92"/>
      <c r="M92" s="109" t="str">
        <f t="shared" si="1"/>
        <v>60</v>
      </c>
      <c r="N92" s="92" t="str">
        <f>_xll.EPMMemberProperty(, K92, "CALC")</f>
        <v>Y</v>
      </c>
      <c r="O92" s="93" t="str">
        <f>IF(I92="", _xll.EPMMemberDesc(K92), I92)</f>
        <v>Rahoitustuotot ja -kulut</v>
      </c>
      <c r="P92" s="92">
        <v>-1.03</v>
      </c>
      <c r="Q92" s="92"/>
      <c r="R92" s="92"/>
      <c r="S92" s="92"/>
      <c r="T92" s="92">
        <f t="shared" si="2"/>
        <v>0</v>
      </c>
      <c r="U92" s="92">
        <v>-0.51</v>
      </c>
      <c r="V92" s="92">
        <f>_xll.EPMRetrieveData(, $V$19, $V$20, $V$21, $V$22, $V$23, $V$24, $V$25, G92, $P$132)</f>
        <v>0</v>
      </c>
      <c r="W92" s="92">
        <f t="shared" si="3"/>
        <v>-0.51</v>
      </c>
      <c r="X92" s="92">
        <f>_xll.EPMRetrieveData(, $X$20, $X$21, $X$22, $X$23, $X$24, $X$25, G92, $P$132)</f>
        <v>0</v>
      </c>
      <c r="Y92" s="92">
        <f t="shared" si="4"/>
        <v>0</v>
      </c>
      <c r="Z92" s="88">
        <f>IF(K92="", "", _xll.EPMSaveData(V92, , $Z$19, $Z$20, $Z$21, $Z$22, $Z$23, $Z$24, $Z$25, G92, $P$132))</f>
        <v>0</v>
      </c>
      <c r="AA92" s="88">
        <f>IF(K92="", "", _xll.EPMSaveData(X92, , $AA$19, $AA$20, $AA$21, $AA$22, $AA$23, $AA$24, $AA$25, G92, $P$132))</f>
        <v>0</v>
      </c>
    </row>
    <row r="93" spans="6:27" x14ac:dyDescent="0.25">
      <c r="F93" s="152" t="s">
        <v>233</v>
      </c>
      <c r="G93" s="77" t="s">
        <v>146</v>
      </c>
      <c r="I93" s="106" t="s">
        <v>195</v>
      </c>
      <c r="K93" s="138" t="str">
        <f xml:space="preserve"> _xll.EPMOlapMemberO("[TILI].[PARENTH1].[1000600A]","","1000600A","","000")</f>
        <v>1000600A</v>
      </c>
      <c r="L93" s="87"/>
      <c r="M93" s="105" t="str">
        <f t="shared" si="1"/>
        <v>600</v>
      </c>
      <c r="N93" s="87" t="str">
        <f>_xll.EPMMemberProperty(, K93, "CALC")</f>
        <v>Y</v>
      </c>
      <c r="O93" s="106" t="str">
        <f>IF(I93="", _xll.EPMMemberDesc(K93), I93)</f>
        <v>Korkotuotot</v>
      </c>
      <c r="P93" s="87"/>
      <c r="Q93" s="87"/>
      <c r="R93" s="87"/>
      <c r="S93" s="87"/>
      <c r="T93" s="87">
        <f t="shared" si="2"/>
        <v>0</v>
      </c>
      <c r="U93" s="126"/>
      <c r="V93" s="122">
        <f>_xll.EPMRetrieveData(, $V$19, $V$20, $V$21, $V$22, $V$23, $V$24, $V$25, G93, $P$132)</f>
        <v>0</v>
      </c>
      <c r="W93" s="128">
        <f t="shared" si="3"/>
        <v>0</v>
      </c>
      <c r="X93" s="122">
        <f>_xll.EPMRetrieveData(, $X$20, $X$21, $X$22, $X$23, $X$24, $X$25, G93, $P$132)</f>
        <v>0</v>
      </c>
      <c r="Y93" s="87">
        <f t="shared" si="4"/>
        <v>0</v>
      </c>
      <c r="Z93" s="87">
        <f>IF(K93="", "", _xll.EPMSaveData(V93, , $Z$19, $Z$20, $Z$21, $Z$22, $Z$23, $Z$24, $Z$25, G93, $P$132))</f>
        <v>0</v>
      </c>
      <c r="AA93" s="87">
        <f>IF(K93="", "", _xll.EPMSaveData(X93, , $AA$19, $AA$20, $AA$21, $AA$22, $AA$23, $AA$24, $AA$25, G93, $P$132))</f>
        <v>0</v>
      </c>
    </row>
    <row r="94" spans="6:27" x14ac:dyDescent="0.25">
      <c r="F94" s="152" t="s">
        <v>233</v>
      </c>
      <c r="G94" s="77" t="s">
        <v>147</v>
      </c>
      <c r="I94" s="106" t="s">
        <v>196</v>
      </c>
      <c r="K94" s="138" t="str">
        <f xml:space="preserve"> _xll.EPMOlapMemberO("[TILI].[PARENTH1].[1000610A]","","1000610A","","000")</f>
        <v>1000610A</v>
      </c>
      <c r="L94" s="87"/>
      <c r="M94" s="105" t="str">
        <f t="shared" si="1"/>
        <v>610</v>
      </c>
      <c r="N94" s="87" t="str">
        <f>_xll.EPMMemberProperty(, K94, "CALC")</f>
        <v>Y</v>
      </c>
      <c r="O94" s="106" t="str">
        <f>IF(I94="", _xll.EPMMemberDesc(K94), I94)</f>
        <v>Muut rahoitustuotot</v>
      </c>
      <c r="P94" s="87"/>
      <c r="Q94" s="87"/>
      <c r="R94" s="87"/>
      <c r="S94" s="87"/>
      <c r="T94" s="87">
        <f t="shared" si="2"/>
        <v>0</v>
      </c>
      <c r="U94" s="124"/>
      <c r="V94" s="127">
        <f>_xll.EPMRetrieveData(, $V$19, $V$20, $V$21, $V$22, $V$23, $V$24, $V$25, G94, $P$132)</f>
        <v>0</v>
      </c>
      <c r="W94" s="129">
        <f t="shared" si="3"/>
        <v>0</v>
      </c>
      <c r="X94" s="127">
        <f>_xll.EPMRetrieveData(, $X$20, $X$21, $X$22, $X$23, $X$24, $X$25, G94, $P$132)</f>
        <v>0</v>
      </c>
      <c r="Y94" s="87">
        <f t="shared" si="4"/>
        <v>0</v>
      </c>
      <c r="Z94" s="87">
        <f>IF(K94="", "", _xll.EPMSaveData(V94, , $Z$19, $Z$20, $Z$21, $Z$22, $Z$23, $Z$24, $Z$25, G94, $P$132))</f>
        <v>0</v>
      </c>
      <c r="AA94" s="87">
        <f>IF(K94="", "", _xll.EPMSaveData(X94, , $AA$19, $AA$20, $AA$21, $AA$22, $AA$23, $AA$24, $AA$25, G94, $P$132))</f>
        <v>0</v>
      </c>
    </row>
    <row r="95" spans="6:27" x14ac:dyDescent="0.25">
      <c r="F95" s="152" t="s">
        <v>234</v>
      </c>
      <c r="G95" s="77" t="s">
        <v>148</v>
      </c>
      <c r="I95" s="106" t="s">
        <v>197</v>
      </c>
      <c r="K95" s="138" t="str">
        <f xml:space="preserve"> _xll.EPMOlapMemberO("[TILI].[PARENTH1].[1000620A]","","1000620A","","000")</f>
        <v>1000620A</v>
      </c>
      <c r="L95" s="87"/>
      <c r="M95" s="105" t="str">
        <f t="shared" si="1"/>
        <v>620</v>
      </c>
      <c r="N95" s="87" t="str">
        <f>_xll.EPMMemberProperty(, K95, "CALC")</f>
        <v>Y</v>
      </c>
      <c r="O95" s="106" t="str">
        <f>IF(I95="", _xll.EPMMemberDesc(K95), I95)</f>
        <v>Korkokulut</v>
      </c>
      <c r="P95" s="87"/>
      <c r="Q95" s="87"/>
      <c r="R95" s="87"/>
      <c r="S95" s="87"/>
      <c r="T95" s="87">
        <f t="shared" si="2"/>
        <v>0</v>
      </c>
      <c r="U95" s="124"/>
      <c r="V95" s="127">
        <f>_xll.EPMRetrieveData(, $V$19, $V$20, $V$21, $V$22, $V$23, $V$24, $V$25, G95, $P$132)</f>
        <v>0</v>
      </c>
      <c r="W95" s="129">
        <f t="shared" si="3"/>
        <v>0</v>
      </c>
      <c r="X95" s="127">
        <f>_xll.EPMRetrieveData(, $X$20, $X$21, $X$22, $X$23, $X$24, $X$25, G95, $P$132)</f>
        <v>0</v>
      </c>
      <c r="Y95" s="87">
        <f t="shared" si="4"/>
        <v>0</v>
      </c>
      <c r="Z95" s="87">
        <f>IF(K95="", "", _xll.EPMSaveData(V95, , $Z$19, $Z$20, $Z$21, $Z$22, $Z$23, $Z$24, $Z$25, G95, $P$132))</f>
        <v>0</v>
      </c>
      <c r="AA95" s="87">
        <f>IF(K95="", "", _xll.EPMSaveData(X95, , $AA$19, $AA$20, $AA$21, $AA$22, $AA$23, $AA$24, $AA$25, G95, $P$132))</f>
        <v>0</v>
      </c>
    </row>
    <row r="96" spans="6:27" x14ac:dyDescent="0.25">
      <c r="F96" s="152" t="s">
        <v>234</v>
      </c>
      <c r="G96" s="77" t="s">
        <v>149</v>
      </c>
      <c r="I96" s="106" t="s">
        <v>198</v>
      </c>
      <c r="K96" s="138" t="str">
        <f xml:space="preserve"> _xll.EPMOlapMemberO("[TILI].[PARENTH1].[1000630A]","","1000630A","","000")</f>
        <v>1000630A</v>
      </c>
      <c r="L96" s="87"/>
      <c r="M96" s="105" t="str">
        <f t="shared" si="1"/>
        <v>630</v>
      </c>
      <c r="N96" s="87" t="str">
        <f>_xll.EPMMemberProperty(, K96, "CALC")</f>
        <v>Y</v>
      </c>
      <c r="O96" s="106" t="str">
        <f>IF(I96="", _xll.EPMMemberDesc(K96), I96)</f>
        <v>Muut rahoituskulut</v>
      </c>
      <c r="P96" s="87">
        <v>1.03</v>
      </c>
      <c r="Q96" s="87"/>
      <c r="R96" s="87"/>
      <c r="S96" s="87"/>
      <c r="T96" s="87">
        <f t="shared" si="2"/>
        <v>0</v>
      </c>
      <c r="U96" s="124">
        <v>0.51</v>
      </c>
      <c r="V96" s="127">
        <f>_xll.EPMRetrieveData(, $V$19, $V$20, $V$21, $V$22, $V$23, $V$24, $V$25, G96, $P$132)</f>
        <v>0</v>
      </c>
      <c r="W96" s="129">
        <f t="shared" si="3"/>
        <v>0.51</v>
      </c>
      <c r="X96" s="127">
        <f>_xll.EPMRetrieveData(, $X$20, $X$21, $X$22, $X$23, $X$24, $X$25, G96, $P$132)</f>
        <v>0</v>
      </c>
      <c r="Y96" s="87">
        <f t="shared" si="4"/>
        <v>0</v>
      </c>
      <c r="Z96" s="87">
        <f>IF(K96="", "", _xll.EPMSaveData(V96, , $Z$19, $Z$20, $Z$21, $Z$22, $Z$23, $Z$24, $Z$25, G96, $P$132))</f>
        <v>0</v>
      </c>
      <c r="AA96" s="87">
        <f>IF(K96="", "", _xll.EPMSaveData(X96, , $AA$19, $AA$20, $AA$21, $AA$22, $AA$23, $AA$24, $AA$25, G96, $P$132))</f>
        <v>0</v>
      </c>
    </row>
    <row r="97" spans="6:27" x14ac:dyDescent="0.25">
      <c r="F97" s="152" t="s">
        <v>234</v>
      </c>
      <c r="G97" s="77" t="s">
        <v>150</v>
      </c>
      <c r="I97" s="106" t="s">
        <v>199</v>
      </c>
      <c r="K97" s="139" t="str">
        <f xml:space="preserve"> _xll.EPMOlapMemberO("[TILI].[PARENTH1].[630200]","","630200","","000")</f>
        <v>630200</v>
      </c>
      <c r="L97" s="87"/>
      <c r="M97" s="105" t="str">
        <f t="shared" si="1"/>
        <v>630200</v>
      </c>
      <c r="N97" s="87" t="str">
        <f>_xll.EPMMemberProperty(, K97, "CALC")</f>
        <v>N</v>
      </c>
      <c r="O97" s="106" t="str">
        <f>IF(I97="", _xll.EPMMemberDesc(K97), I97)</f>
        <v>Liikelaitoksen korvaus peruspääomasta (k</v>
      </c>
      <c r="P97" s="87"/>
      <c r="Q97" s="87"/>
      <c r="R97" s="87"/>
      <c r="S97" s="87"/>
      <c r="T97" s="87">
        <f t="shared" si="2"/>
        <v>0</v>
      </c>
      <c r="U97" s="124"/>
      <c r="V97" s="127">
        <f>_xll.EPMRetrieveData(, $V$19, $V$20, $V$21, $V$22, $V$23, $V$24, $V$25, G97, $P$132)</f>
        <v>0</v>
      </c>
      <c r="W97" s="129">
        <f t="shared" si="3"/>
        <v>0</v>
      </c>
      <c r="X97" s="127">
        <f>_xll.EPMRetrieveData(, $X$20, $X$21, $X$22, $X$23, $X$24, $X$25, G97, $P$132)</f>
        <v>0</v>
      </c>
      <c r="Y97" s="87">
        <f t="shared" si="4"/>
        <v>0</v>
      </c>
      <c r="Z97" s="87">
        <f>IF(K97="", "", _xll.EPMSaveData(V97, , $Z$19, $Z$20, $Z$21, $Z$22, $Z$23, $Z$24, $Z$25, G97, $P$132))</f>
        <v>0</v>
      </c>
      <c r="AA97" s="87">
        <f>IF(K97="", "", _xll.EPMSaveData(X97, , $AA$19, $AA$20, $AA$21, $AA$22, $AA$23, $AA$24, $AA$25, G97, $P$132))</f>
        <v>0</v>
      </c>
    </row>
    <row r="98" spans="6:27" x14ac:dyDescent="0.25">
      <c r="F98" s="152"/>
      <c r="G98" s="77" t="s">
        <v>100</v>
      </c>
      <c r="I98" s="106" t="s">
        <v>100</v>
      </c>
      <c r="K98" s="86" t="str">
        <f xml:space="preserve"> _xll.FPMXLClient.TechnicalCategory.EPMLocalMember("","015","000")</f>
        <v/>
      </c>
      <c r="L98" s="87"/>
      <c r="M98" s="105" t="str">
        <f t="shared" si="1"/>
        <v/>
      </c>
      <c r="N98" s="87" t="str">
        <f>_xll.EPMMemberProperty(, K98, "CALC")</f>
        <v/>
      </c>
      <c r="O98" s="106" t="str">
        <f>IF(I98="", _xll.EPMMemberDesc(K98), I98)</f>
        <v/>
      </c>
      <c r="P98" s="87"/>
      <c r="Q98" s="87"/>
      <c r="R98" s="87"/>
      <c r="S98" s="87"/>
      <c r="T98" s="87">
        <f t="shared" si="2"/>
        <v>0</v>
      </c>
      <c r="U98" s="87"/>
      <c r="V98" s="143">
        <f>_xll.EPMRetrieveData(, $V$19, $V$20, $V$21, $V$22, $V$23, $V$24, $V$25, G98, $P$132)</f>
        <v>0</v>
      </c>
      <c r="W98" s="143">
        <f t="shared" si="3"/>
        <v>0</v>
      </c>
      <c r="X98" s="143">
        <f>_xll.EPMRetrieveData(, $X$20, $X$21, $X$22, $X$23, $X$24, $X$25, G98, $P$132)</f>
        <v>0</v>
      </c>
      <c r="Y98" s="143">
        <f t="shared" si="4"/>
        <v>0</v>
      </c>
      <c r="Z98" s="87" t="str">
        <f>IF(K98="", "", _xll.EPMSaveData(V98, , $Z$19, $Z$20, $Z$21, $Z$22, $Z$23, $Z$24, $Z$25, G98, $P$132))</f>
        <v/>
      </c>
      <c r="AA98" s="87" t="str">
        <f>IF(K98="", "", _xll.EPMSaveData(X98, , $AA$19, $AA$20, $AA$21, $AA$22, $AA$23, $AA$24, $AA$25, G98, $P$132))</f>
        <v/>
      </c>
    </row>
    <row r="99" spans="6:27" ht="16.5" thickBot="1" x14ac:dyDescent="0.3">
      <c r="F99" s="152" t="s">
        <v>233</v>
      </c>
      <c r="G99" s="77" t="s">
        <v>100</v>
      </c>
      <c r="I99" s="103" t="s">
        <v>76</v>
      </c>
      <c r="K99" s="86" t="str">
        <f xml:space="preserve"> _xll.FPMXLClient.TechnicalCategory.EPMLocalMember("","016","000")</f>
        <v/>
      </c>
      <c r="L99" s="87"/>
      <c r="M99" s="103" t="str">
        <f t="shared" si="1"/>
        <v/>
      </c>
      <c r="N99" s="87" t="str">
        <f>_xll.EPMMemberProperty(, K99, "CALC")</f>
        <v/>
      </c>
      <c r="O99" s="103" t="str">
        <f>IF(I99="", _xll.EPMMemberDesc(K99), I99)</f>
        <v>VUOSIKATE</v>
      </c>
      <c r="P99" s="102">
        <f t="shared" ref="M99:AA99" si="8">P85+P86+P91+P92</f>
        <v>-442521.80000000005</v>
      </c>
      <c r="Q99" s="102">
        <f t="shared" si="8"/>
        <v>-491999.4019992</v>
      </c>
      <c r="R99" s="102">
        <f t="shared" si="8"/>
        <v>0</v>
      </c>
      <c r="S99" s="102">
        <f t="shared" si="8"/>
        <v>0</v>
      </c>
      <c r="T99" s="102">
        <f t="shared" si="2"/>
        <v>-491999.4019992</v>
      </c>
      <c r="U99" s="102">
        <f t="shared" si="8"/>
        <v>-241125.66</v>
      </c>
      <c r="V99" s="102">
        <f>V85+V86+V91+V92</f>
        <v>0</v>
      </c>
      <c r="W99" s="102">
        <f t="shared" si="3"/>
        <v>-241125.66</v>
      </c>
      <c r="X99" s="102">
        <f>X85+X86+X91+X92</f>
        <v>-492000</v>
      </c>
      <c r="Y99" s="102">
        <f t="shared" si="4"/>
        <v>-0.59800080000422895</v>
      </c>
      <c r="Z99" s="87" t="str">
        <f>IF(K99="", "", _xll.EPMSaveData(V99, , $Z$19, $Z$20, $Z$21, $Z$22, $Z$23, $Z$24, $Z$25, G99, $P$132))</f>
        <v/>
      </c>
      <c r="AA99" s="87" t="str">
        <f>IF(K99="", "", _xll.EPMSaveData(X99, , $AA$19, $AA$20, $AA$21, $AA$22, $AA$23, $AA$24, $AA$25, G99, $P$132))</f>
        <v/>
      </c>
    </row>
    <row r="100" spans="6:27" ht="15.75" thickTop="1" x14ac:dyDescent="0.25">
      <c r="F100" s="152"/>
      <c r="G100" s="77" t="s">
        <v>100</v>
      </c>
      <c r="I100" s="106" t="s">
        <v>100</v>
      </c>
      <c r="K100" s="86" t="str">
        <f xml:space="preserve"> _xll.FPMXLClient.TechnicalCategory.EPMLocalMember("","017","000")</f>
        <v/>
      </c>
      <c r="L100" s="87"/>
      <c r="M100" s="105" t="str">
        <f t="shared" si="1"/>
        <v/>
      </c>
      <c r="N100" s="87" t="str">
        <f>_xll.EPMMemberProperty(, K100, "CALC")</f>
        <v/>
      </c>
      <c r="O100" s="106" t="str">
        <f>IF(I100="", _xll.EPMMemberDesc(K100), I100)</f>
        <v/>
      </c>
      <c r="P100" s="87"/>
      <c r="Q100" s="87"/>
      <c r="R100" s="87"/>
      <c r="S100" s="87"/>
      <c r="T100" s="87">
        <f t="shared" si="2"/>
        <v>0</v>
      </c>
      <c r="U100" s="87"/>
      <c r="V100" s="143">
        <f>_xll.EPMRetrieveData(, $V$19, $V$20, $V$21, $V$22, $V$23, $V$24, $V$25, G100, $P$132)</f>
        <v>0</v>
      </c>
      <c r="W100" s="143">
        <f t="shared" si="3"/>
        <v>0</v>
      </c>
      <c r="X100" s="143">
        <f>_xll.EPMRetrieveData(, $X$20, $X$21, $X$22, $X$23, $X$24, $X$25, G100, $P$132)</f>
        <v>0</v>
      </c>
      <c r="Y100" s="143">
        <f t="shared" si="4"/>
        <v>0</v>
      </c>
      <c r="Z100" s="87" t="str">
        <f>IF(K100="", "", _xll.EPMSaveData(V100, , $Z$19, $Z$20, $Z$21, $Z$22, $Z$23, $Z$24, $Z$25, G100, $P$132))</f>
        <v/>
      </c>
      <c r="AA100" s="87" t="str">
        <f>IF(K100="", "", _xll.EPMSaveData(X100, , $AA$19, $AA$20, $AA$21, $AA$22, $AA$23, $AA$24, $AA$25, G100, $P$132))</f>
        <v/>
      </c>
    </row>
    <row r="101" spans="6:27" x14ac:dyDescent="0.25">
      <c r="F101" s="152" t="s">
        <v>234</v>
      </c>
      <c r="G101" s="77" t="s">
        <v>151</v>
      </c>
      <c r="I101" s="93" t="s">
        <v>200</v>
      </c>
      <c r="K101" s="142" t="str">
        <f xml:space="preserve"> _xll.EPMOlapMemberO("[TILI].[PARENTH1].[100070A]","","100070A","","000")</f>
        <v>100070A</v>
      </c>
      <c r="L101" s="92"/>
      <c r="M101" s="109" t="str">
        <f t="shared" ref="M101:M114" si="9">IF(RIGHT(K101, 1)="A", MID(K101, 5, LEN(K101)-5), K101)</f>
        <v>70</v>
      </c>
      <c r="N101" s="92" t="str">
        <f>_xll.EPMMemberProperty(, K101, "CALC")</f>
        <v>Y</v>
      </c>
      <c r="O101" s="93" t="str">
        <f>IF(I101="", _xll.EPMMemberDesc(K101), I101)</f>
        <v>Poistot ja arvonalentumiset</v>
      </c>
      <c r="P101" s="92"/>
      <c r="Q101" s="92"/>
      <c r="R101" s="92"/>
      <c r="S101" s="92"/>
      <c r="T101" s="92">
        <f t="shared" ref="T101:T114" si="10">Q101+R101+S101</f>
        <v>0</v>
      </c>
      <c r="U101" s="92"/>
      <c r="V101" s="88">
        <f>_xll.EPMRetrieveData(, $V$19, $V$20, $V$21, $V$22, $V$23, $V$24, $V$25, G101, $P$132)</f>
        <v>0</v>
      </c>
      <c r="W101" s="92">
        <f t="shared" ref="W101:W114" si="11">U101+V101</f>
        <v>0</v>
      </c>
      <c r="X101" s="88">
        <f>_xll.EPMRetrieveData(, $X$20, $X$21, $X$22, $X$23, $X$24, $X$25, G101, $P$132)</f>
        <v>0</v>
      </c>
      <c r="Y101" s="92">
        <f t="shared" ref="Y101:Y114" si="12">IF(F101="TA-ENN", T101-X101, X101-T101)</f>
        <v>0</v>
      </c>
      <c r="Z101" s="88">
        <f>IF(K101="", "", _xll.EPMSaveData(V101, , $Z$19, $Z$20, $Z$21, $Z$22, $Z$23, $Z$24, $Z$25, G101, $P$132))</f>
        <v>0</v>
      </c>
      <c r="AA101" s="88">
        <f>IF(K101="", "", _xll.EPMSaveData(X101, , $AA$19, $AA$20, $AA$21, $AA$22, $AA$23, $AA$24, $AA$25, G101, $P$132))</f>
        <v>0</v>
      </c>
    </row>
    <row r="102" spans="6:27" x14ac:dyDescent="0.25">
      <c r="F102" s="152" t="s">
        <v>234</v>
      </c>
      <c r="G102" s="153" t="s">
        <v>154</v>
      </c>
      <c r="I102" s="106" t="s">
        <v>201</v>
      </c>
      <c r="K102" s="138" t="str">
        <f xml:space="preserve"> _xll.EPMOlapMemberO("[TILI].[PARENTH1].[1000710A]","","1000710A","","000")</f>
        <v>1000710A</v>
      </c>
      <c r="L102" s="87"/>
      <c r="M102" s="105" t="str">
        <f t="shared" si="9"/>
        <v>710</v>
      </c>
      <c r="N102" s="87" t="str">
        <f>_xll.EPMMemberProperty(, K102, "CALC")</f>
        <v>Y</v>
      </c>
      <c r="O102" s="106" t="str">
        <f>IF(I102="", _xll.EPMMemberDesc(K102), I102)</f>
        <v>Suunnitelman mukaiset poistot</v>
      </c>
      <c r="P102" s="87"/>
      <c r="Q102" s="87"/>
      <c r="R102" s="87"/>
      <c r="S102" s="87"/>
      <c r="T102" s="87">
        <f t="shared" si="10"/>
        <v>0</v>
      </c>
      <c r="U102" s="126"/>
      <c r="V102" s="122">
        <f>_xll.EPMRetrieveData(, $V$19, $V$20, $V$21, $V$22, $V$23, $V$24, $V$25, G102, $P$132)</f>
        <v>0</v>
      </c>
      <c r="W102" s="128">
        <f t="shared" si="11"/>
        <v>0</v>
      </c>
      <c r="X102" s="122">
        <f>_xll.EPMRetrieveData(, $X$20, $X$21, $X$22, $X$23, $X$24, $X$25, G102, $P$132)</f>
        <v>0</v>
      </c>
      <c r="Y102" s="87">
        <f t="shared" si="12"/>
        <v>0</v>
      </c>
      <c r="Z102" s="87">
        <f>IF(K102="", "", _xll.EPMSaveData(V102, , $Z$19, $Z$20, $Z$21, $Z$22, $Z$23, $Z$24, $Z$25, G102, $P$132))</f>
        <v>0</v>
      </c>
      <c r="AA102" s="87">
        <f>IF(K102="", "", _xll.EPMSaveData(X102, , $AA$19, $AA$20, $AA$21, $AA$22, $AA$23, $AA$24, $AA$25, G102, $P$132))</f>
        <v>0</v>
      </c>
    </row>
    <row r="103" spans="6:27" x14ac:dyDescent="0.25">
      <c r="F103" s="152" t="s">
        <v>234</v>
      </c>
      <c r="G103" s="77" t="s">
        <v>153</v>
      </c>
      <c r="I103" s="106" t="s">
        <v>202</v>
      </c>
      <c r="K103" s="138" t="str">
        <f xml:space="preserve"> _xll.EPMOlapMemberO("[TILI].[PARENTH1].[1000720A]","","1000720A","","000")</f>
        <v>1000720A</v>
      </c>
      <c r="L103" s="87"/>
      <c r="M103" s="105" t="str">
        <f t="shared" si="9"/>
        <v>720</v>
      </c>
      <c r="N103" s="87" t="str">
        <f>_xll.EPMMemberProperty(, K103, "CALC")</f>
        <v>Y</v>
      </c>
      <c r="O103" s="106" t="str">
        <f>IF(I103="", _xll.EPMMemberDesc(K103), I103)</f>
        <v>Kertaluonteiset poistot</v>
      </c>
      <c r="P103" s="87"/>
      <c r="Q103" s="87"/>
      <c r="R103" s="87"/>
      <c r="S103" s="87"/>
      <c r="T103" s="87">
        <f t="shared" si="10"/>
        <v>0</v>
      </c>
      <c r="U103" s="124"/>
      <c r="V103" s="127">
        <f>_xll.EPMRetrieveData(, $V$19, $V$20, $V$21, $V$22, $V$23, $V$24, $V$25, G103, $P$132)</f>
        <v>0</v>
      </c>
      <c r="W103" s="129">
        <f t="shared" si="11"/>
        <v>0</v>
      </c>
      <c r="X103" s="127">
        <f>_xll.EPMRetrieveData(, $X$20, $X$21, $X$22, $X$23, $X$24, $X$25, G103, $P$132)</f>
        <v>0</v>
      </c>
      <c r="Y103" s="87">
        <f t="shared" si="12"/>
        <v>0</v>
      </c>
      <c r="Z103" s="87">
        <f>IF(K103="", "", _xll.EPMSaveData(V103, , $Z$19, $Z$20, $Z$21, $Z$22, $Z$23, $Z$24, $Z$25, G103, $P$132))</f>
        <v>0</v>
      </c>
      <c r="AA103" s="87">
        <f>IF(K103="", "", _xll.EPMSaveData(X103, , $AA$19, $AA$20, $AA$21, $AA$22, $AA$23, $AA$24, $AA$25, G103, $P$132))</f>
        <v>0</v>
      </c>
    </row>
    <row r="104" spans="6:27" x14ac:dyDescent="0.25">
      <c r="F104" s="152" t="s">
        <v>234</v>
      </c>
      <c r="G104" s="153" t="s">
        <v>152</v>
      </c>
      <c r="I104" s="106" t="s">
        <v>203</v>
      </c>
      <c r="K104" s="138" t="str">
        <f xml:space="preserve"> _xll.EPMOlapMemberO("[TILI].[PARENTH1].[1000723A]","","1000723A","","000")</f>
        <v>1000723A</v>
      </c>
      <c r="L104" s="87"/>
      <c r="M104" s="105" t="str">
        <f t="shared" si="9"/>
        <v>723</v>
      </c>
      <c r="N104" s="87" t="str">
        <f>_xll.EPMMemberProperty(, K104, "CALC")</f>
        <v>Y</v>
      </c>
      <c r="O104" s="106" t="str">
        <f>IF(I104="", _xll.EPMMemberDesc(K104), I104)</f>
        <v>Arvonalentumiset</v>
      </c>
      <c r="P104" s="87"/>
      <c r="Q104" s="87"/>
      <c r="R104" s="87"/>
      <c r="S104" s="87"/>
      <c r="T104" s="87">
        <f t="shared" si="10"/>
        <v>0</v>
      </c>
      <c r="U104" s="124"/>
      <c r="V104" s="127">
        <f>_xll.EPMRetrieveData(, $V$19, $V$20, $V$21, $V$22, $V$23, $V$24, $V$25, G104, $P$132)</f>
        <v>0</v>
      </c>
      <c r="W104" s="129">
        <f t="shared" si="11"/>
        <v>0</v>
      </c>
      <c r="X104" s="127">
        <f>_xll.EPMRetrieveData(, $X$20, $X$21, $X$22, $X$23, $X$24, $X$25, G104, $P$132)</f>
        <v>0</v>
      </c>
      <c r="Y104" s="87">
        <f t="shared" si="12"/>
        <v>0</v>
      </c>
      <c r="Z104" s="87">
        <f>IF(K104="", "", _xll.EPMSaveData(V104, , $Z$19, $Z$20, $Z$21, $Z$22, $Z$23, $Z$24, $Z$25, G104, $P$132))</f>
        <v>0</v>
      </c>
      <c r="AA104" s="87">
        <f>IF(K104="", "", _xll.EPMSaveData(X104, , $AA$19, $AA$20, $AA$21, $AA$22, $AA$23, $AA$24, $AA$25, G104, $P$132))</f>
        <v>0</v>
      </c>
    </row>
    <row r="105" spans="6:27" x14ac:dyDescent="0.25">
      <c r="F105" s="152" t="s">
        <v>233</v>
      </c>
      <c r="G105" s="77" t="s">
        <v>155</v>
      </c>
      <c r="I105" s="93" t="s">
        <v>35</v>
      </c>
      <c r="K105" s="142" t="str">
        <f xml:space="preserve"> _xll.EPMOlapMemberO("[TILI].[PARENTH1].[100080A]","","100080A","","000")</f>
        <v>100080A</v>
      </c>
      <c r="L105" s="92"/>
      <c r="M105" s="109" t="str">
        <f t="shared" si="9"/>
        <v>80</v>
      </c>
      <c r="N105" s="92" t="str">
        <f>_xll.EPMMemberProperty(, K105, "CALC")</f>
        <v>Y</v>
      </c>
      <c r="O105" s="93" t="str">
        <f>IF(I105="", _xll.EPMMemberDesc(K105), I105)</f>
        <v>Satunnaiset tuotot ja kulut (800000-819999)</v>
      </c>
      <c r="P105" s="92"/>
      <c r="Q105" s="92"/>
      <c r="R105" s="92"/>
      <c r="S105" s="92"/>
      <c r="T105" s="92">
        <f t="shared" si="10"/>
        <v>0</v>
      </c>
      <c r="U105" s="92"/>
      <c r="V105" s="88">
        <f>_xll.EPMRetrieveData(, $V$19, $V$20, $V$21, $V$22, $V$23, $V$24, $V$25, G105, $P$132)</f>
        <v>0</v>
      </c>
      <c r="W105" s="92">
        <f t="shared" si="11"/>
        <v>0</v>
      </c>
      <c r="X105" s="88">
        <f>_xll.EPMRetrieveData(, $X$20, $X$21, $X$22, $X$23, $X$24, $X$25, G105, $P$132)</f>
        <v>0</v>
      </c>
      <c r="Y105" s="92">
        <f t="shared" si="12"/>
        <v>0</v>
      </c>
      <c r="Z105" s="88">
        <f>IF(K105="", "", _xll.EPMSaveData(V105, , $Z$19, $Z$20, $Z$21, $Z$22, $Z$23, $Z$24, $Z$25, G105, $P$132))</f>
        <v>0</v>
      </c>
      <c r="AA105" s="88">
        <f>IF(K105="", "", _xll.EPMSaveData(X105, , $AA$19, $AA$20, $AA$21, $AA$22, $AA$23, $AA$24, $AA$25, G105, $P$132))</f>
        <v>0</v>
      </c>
    </row>
    <row r="106" spans="6:27" x14ac:dyDescent="0.25">
      <c r="F106" s="152" t="s">
        <v>233</v>
      </c>
      <c r="G106" s="77" t="s">
        <v>156</v>
      </c>
      <c r="I106" s="106" t="s">
        <v>204</v>
      </c>
      <c r="K106" s="138" t="str">
        <f xml:space="preserve"> _xll.EPMOlapMemberO("[TILI].[PARENTH1].[1000800A]","","1000800A","","000")</f>
        <v>1000800A</v>
      </c>
      <c r="L106" s="87"/>
      <c r="M106" s="105" t="str">
        <f t="shared" si="9"/>
        <v>800</v>
      </c>
      <c r="N106" s="87" t="str">
        <f>_xll.EPMMemberProperty(, K106, "CALC")</f>
        <v>Y</v>
      </c>
      <c r="O106" s="106" t="str">
        <f>IF(I106="", _xll.EPMMemberDesc(K106), I106)</f>
        <v>Satunnaiset tuotot</v>
      </c>
      <c r="P106" s="87"/>
      <c r="Q106" s="87"/>
      <c r="R106" s="87"/>
      <c r="S106" s="87"/>
      <c r="T106" s="87">
        <f t="shared" si="10"/>
        <v>0</v>
      </c>
      <c r="U106" s="126"/>
      <c r="V106" s="122">
        <f>_xll.EPMRetrieveData(, $V$19, $V$20, $V$21, $V$22, $V$23, $V$24, $V$25, G106, $P$132)</f>
        <v>0</v>
      </c>
      <c r="W106" s="128">
        <f t="shared" si="11"/>
        <v>0</v>
      </c>
      <c r="X106" s="125">
        <f>_xll.EPMRetrieveData(, $X$20, $X$21, $X$22, $X$23, $X$24, $X$25, G106, $P$132)</f>
        <v>0</v>
      </c>
      <c r="Y106" s="87">
        <f t="shared" si="12"/>
        <v>0</v>
      </c>
      <c r="Z106" s="87">
        <f>IF(K106="", "", _xll.EPMSaveData(V106, , $Z$19, $Z$20, $Z$21, $Z$22, $Z$23, $Z$24, $Z$25, G106, $P$132))</f>
        <v>0</v>
      </c>
      <c r="AA106" s="87">
        <f>IF(K106="", "", _xll.EPMSaveData(X106, , $AA$19, $AA$20, $AA$21, $AA$22, $AA$23, $AA$24, $AA$25, G106, $P$132))</f>
        <v>0</v>
      </c>
    </row>
    <row r="107" spans="6:27" x14ac:dyDescent="0.25">
      <c r="F107" s="152" t="s">
        <v>234</v>
      </c>
      <c r="G107" s="77" t="s">
        <v>157</v>
      </c>
      <c r="I107" s="106" t="s">
        <v>205</v>
      </c>
      <c r="K107" s="138" t="str">
        <f xml:space="preserve"> _xll.EPMOlapMemberO("[TILI].[PARENTH1].[1000810A]","","1000810A","","000")</f>
        <v>1000810A</v>
      </c>
      <c r="L107" s="87"/>
      <c r="M107" s="105" t="str">
        <f t="shared" si="9"/>
        <v>810</v>
      </c>
      <c r="N107" s="87" t="str">
        <f>_xll.EPMMemberProperty(, K107, "CALC")</f>
        <v>Y</v>
      </c>
      <c r="O107" s="106" t="str">
        <f>IF(I107="", _xll.EPMMemberDesc(K107), I107)</f>
        <v>Satunnaiset kulut</v>
      </c>
      <c r="P107" s="87"/>
      <c r="Q107" s="87"/>
      <c r="R107" s="87"/>
      <c r="S107" s="87"/>
      <c r="T107" s="87">
        <f t="shared" si="10"/>
        <v>0</v>
      </c>
      <c r="U107" s="130"/>
      <c r="V107" s="131">
        <f>_xll.EPMRetrieveData(, $V$19, $V$20, $V$21, $V$22, $V$23, $V$24, $V$25, G107, $P$132)</f>
        <v>0</v>
      </c>
      <c r="W107" s="132">
        <f t="shared" si="11"/>
        <v>0</v>
      </c>
      <c r="X107" s="131">
        <f>_xll.EPMRetrieveData(, $X$20, $X$21, $X$22, $X$23, $X$24, $X$25, G107, $P$132)</f>
        <v>0</v>
      </c>
      <c r="Y107" s="87">
        <f t="shared" si="12"/>
        <v>0</v>
      </c>
      <c r="Z107" s="87">
        <f>IF(K107="", "", _xll.EPMSaveData(V107, , $Z$19, $Z$20, $Z$21, $Z$22, $Z$23, $Z$24, $Z$25, G107, $P$132))</f>
        <v>0</v>
      </c>
      <c r="AA107" s="87">
        <f>IF(K107="", "", _xll.EPMSaveData(X107, , $AA$19, $AA$20, $AA$21, $AA$22, $AA$23, $AA$24, $AA$25, G107, $P$132))</f>
        <v>0</v>
      </c>
    </row>
    <row r="108" spans="6:27" ht="16.5" thickBot="1" x14ac:dyDescent="0.3">
      <c r="F108" s="152" t="s">
        <v>233</v>
      </c>
      <c r="G108" s="77" t="s">
        <v>100</v>
      </c>
      <c r="I108" s="103" t="s">
        <v>77</v>
      </c>
      <c r="K108" s="86" t="str">
        <f xml:space="preserve"> _xll.FPMXLClient.TechnicalCategory.EPMLocalMember("","018","000")</f>
        <v/>
      </c>
      <c r="L108" s="88"/>
      <c r="M108" s="102" t="str">
        <f t="shared" si="9"/>
        <v/>
      </c>
      <c r="N108" s="102" t="str">
        <f>_xll.EPMMemberProperty(, K108, "CALC")</f>
        <v/>
      </c>
      <c r="O108" s="103" t="str">
        <f>IF(I108="", _xll.EPMMemberDesc(K108), I108)</f>
        <v>TILIKAUDEN TULOS</v>
      </c>
      <c r="P108" s="102">
        <f t="shared" ref="M108:AA108" si="13">P99-P101+P105</f>
        <v>-442521.80000000005</v>
      </c>
      <c r="Q108" s="102">
        <f t="shared" si="13"/>
        <v>-491999.4019992</v>
      </c>
      <c r="R108" s="102">
        <f t="shared" si="13"/>
        <v>0</v>
      </c>
      <c r="S108" s="102">
        <f t="shared" si="13"/>
        <v>0</v>
      </c>
      <c r="T108" s="102">
        <f t="shared" si="10"/>
        <v>-491999.4019992</v>
      </c>
      <c r="U108" s="102">
        <f t="shared" si="13"/>
        <v>-241125.66</v>
      </c>
      <c r="V108" s="102">
        <f>V99-V101+V105</f>
        <v>0</v>
      </c>
      <c r="W108" s="102">
        <f t="shared" si="11"/>
        <v>-241125.66</v>
      </c>
      <c r="X108" s="102">
        <f>X99-X101+X105</f>
        <v>-492000</v>
      </c>
      <c r="Y108" s="102">
        <f t="shared" si="12"/>
        <v>-0.59800080000422895</v>
      </c>
      <c r="Z108" s="104" t="str">
        <f>IF(K108="", "", _xll.EPMSaveData(V108, , $Z$19, $Z$20, $Z$21, $Z$22, $Z$23, $Z$24, $Z$25, G108, $P$132))</f>
        <v/>
      </c>
      <c r="AA108" s="104" t="str">
        <f>IF(K108="", "", _xll.EPMSaveData(X108, , $AA$19, $AA$20, $AA$21, $AA$22, $AA$23, $AA$24, $AA$25, G108, $P$132))</f>
        <v/>
      </c>
    </row>
    <row r="109" spans="6:27" ht="15.75" thickTop="1" x14ac:dyDescent="0.25">
      <c r="F109" s="152"/>
      <c r="G109" s="77" t="s">
        <v>100</v>
      </c>
      <c r="I109" s="89" t="s">
        <v>100</v>
      </c>
      <c r="K109" s="86" t="str">
        <f xml:space="preserve"> _xll.FPMXLClient.TechnicalCategory.EPMLocalMember("","019","000")</f>
        <v/>
      </c>
      <c r="L109" s="88"/>
      <c r="M109" s="89" t="str">
        <f t="shared" si="9"/>
        <v/>
      </c>
      <c r="N109" s="88" t="str">
        <f>_xll.EPMMemberProperty(, K109, "CALC")</f>
        <v/>
      </c>
      <c r="O109" s="89" t="str">
        <f>IF(I109="", _xll.EPMMemberDesc(K109), I109)</f>
        <v/>
      </c>
      <c r="P109" s="90"/>
      <c r="Q109" s="90"/>
      <c r="R109" s="90"/>
      <c r="S109" s="90"/>
      <c r="T109" s="90">
        <f t="shared" si="10"/>
        <v>0</v>
      </c>
      <c r="U109" s="90"/>
      <c r="V109" s="90">
        <f>_xll.EPMRetrieveData(, $V$19, $V$20, $V$21, $V$22, $V$23, $V$24, $V$25, G109, $P$132)</f>
        <v>0</v>
      </c>
      <c r="W109" s="90">
        <f t="shared" si="11"/>
        <v>0</v>
      </c>
      <c r="X109" s="90">
        <f>_xll.EPMRetrieveData(, $X$20, $X$21, $X$22, $X$23, $X$24, $X$25, G109, $P$132)</f>
        <v>0</v>
      </c>
      <c r="Y109" s="90">
        <f t="shared" si="12"/>
        <v>0</v>
      </c>
      <c r="Z109" s="90" t="str">
        <f>IF(K109="", "", _xll.EPMSaveData(V109, , $Z$19, $Z$20, $Z$21, $Z$22, $Z$23, $Z$24, $Z$25, G109, $P$132))</f>
        <v/>
      </c>
      <c r="AA109" s="90" t="str">
        <f>IF(K109="", "", _xll.EPMSaveData(X109, , $AA$19, $AA$20, $AA$21, $AA$22, $AA$23, $AA$24, $AA$25, G109, $P$132))</f>
        <v/>
      </c>
    </row>
    <row r="110" spans="6:27" x14ac:dyDescent="0.25">
      <c r="F110" s="152" t="s">
        <v>234</v>
      </c>
      <c r="G110" s="77" t="s">
        <v>158</v>
      </c>
      <c r="I110" s="93" t="s">
        <v>36</v>
      </c>
      <c r="K110" s="142" t="str">
        <f xml:space="preserve"> _xll.EPMOlapMemberO("[TILI].[PARENTH1].[100085A]","","100085A","","000")</f>
        <v>100085A</v>
      </c>
      <c r="L110" s="92"/>
      <c r="M110" s="109" t="str">
        <f t="shared" si="9"/>
        <v>85</v>
      </c>
      <c r="N110" s="92" t="str">
        <f>_xll.EPMMemberProperty(, K110, "CALC")</f>
        <v>Y</v>
      </c>
      <c r="O110" s="93" t="str">
        <f>IF(I110="", _xll.EPMMemberDesc(K110), I110)</f>
        <v>Varausten ja rahastojen muutokset (850000-879999)</v>
      </c>
      <c r="P110" s="92"/>
      <c r="Q110" s="92"/>
      <c r="R110" s="92"/>
      <c r="S110" s="92"/>
      <c r="T110" s="92">
        <f t="shared" si="10"/>
        <v>0</v>
      </c>
      <c r="U110" s="92"/>
      <c r="V110" s="92">
        <f>_xll.EPMRetrieveData(, $V$19, $V$20, $V$21, $V$22, $V$23, $V$24, $V$25, G110, $P$132)</f>
        <v>0</v>
      </c>
      <c r="W110" s="92">
        <f t="shared" si="11"/>
        <v>0</v>
      </c>
      <c r="X110" s="92">
        <f>_xll.EPMRetrieveData(, $X$20, $X$21, $X$22, $X$23, $X$24, $X$25, G110, $P$132)</f>
        <v>0</v>
      </c>
      <c r="Y110" s="92">
        <f t="shared" si="12"/>
        <v>0</v>
      </c>
      <c r="Z110" s="88">
        <f>IF(K110="", "", _xll.EPMSaveData(V110, , $Z$19, $Z$20, $Z$21, $Z$22, $Z$23, $Z$24, $Z$25, G110, $P$132))</f>
        <v>0</v>
      </c>
      <c r="AA110" s="88">
        <f>IF(K110="", "", _xll.EPMSaveData(X110, , $AA$19, $AA$20, $AA$21, $AA$22, $AA$23, $AA$24, $AA$25, G110, $P$132))</f>
        <v>0</v>
      </c>
    </row>
    <row r="111" spans="6:27" x14ac:dyDescent="0.25">
      <c r="F111" s="152" t="s">
        <v>234</v>
      </c>
      <c r="G111" s="77" t="s">
        <v>159</v>
      </c>
      <c r="I111" s="106" t="s">
        <v>206</v>
      </c>
      <c r="K111" s="138" t="str">
        <f xml:space="preserve"> _xll.EPMOlapMemberO("[TILI].[PARENTH1].[1000850A]","","1000850A","","000")</f>
        <v>1000850A</v>
      </c>
      <c r="L111" s="87"/>
      <c r="M111" s="105" t="str">
        <f t="shared" si="9"/>
        <v>850</v>
      </c>
      <c r="N111" s="87" t="str">
        <f>_xll.EPMMemberProperty(, K111, "CALC")</f>
        <v>Y</v>
      </c>
      <c r="O111" s="106" t="str">
        <f>IF(I111="", _xll.EPMMemberDesc(K111), I111)</f>
        <v>Poistoeron muutos</v>
      </c>
      <c r="P111" s="87"/>
      <c r="Q111" s="87"/>
      <c r="R111" s="87"/>
      <c r="S111" s="87"/>
      <c r="T111" s="87">
        <f t="shared" si="10"/>
        <v>0</v>
      </c>
      <c r="U111" s="126"/>
      <c r="V111" s="122">
        <f>_xll.EPMRetrieveData(, $V$19, $V$20, $V$21, $V$22, $V$23, $V$24, $V$25, G111, $P$132)</f>
        <v>0</v>
      </c>
      <c r="W111" s="128">
        <f t="shared" si="11"/>
        <v>0</v>
      </c>
      <c r="X111" s="122">
        <f>_xll.EPMRetrieveData(, $X$20, $X$21, $X$22, $X$23, $X$24, $X$25, G111, $P$132)</f>
        <v>0</v>
      </c>
      <c r="Y111" s="87">
        <f t="shared" si="12"/>
        <v>0</v>
      </c>
      <c r="Z111" s="87">
        <f>IF(K111="", "", _xll.EPMSaveData(V111, , $Z$19, $Z$20, $Z$21, $Z$22, $Z$23, $Z$24, $Z$25, G111, $P$132))</f>
        <v>0</v>
      </c>
      <c r="AA111" s="87">
        <f>IF(K111="", "", _xll.EPMSaveData(X111, , $AA$19, $AA$20, $AA$21, $AA$22, $AA$23, $AA$24, $AA$25, G111, $P$132))</f>
        <v>0</v>
      </c>
    </row>
    <row r="112" spans="6:27" x14ac:dyDescent="0.25">
      <c r="F112" s="152" t="s">
        <v>234</v>
      </c>
      <c r="G112" s="77" t="s">
        <v>160</v>
      </c>
      <c r="I112" s="106" t="s">
        <v>207</v>
      </c>
      <c r="K112" s="138" t="str">
        <f xml:space="preserve"> _xll.EPMOlapMemberO("[TILI].[PARENTH1].[1000860A]","","1000860A","","000")</f>
        <v>1000860A</v>
      </c>
      <c r="L112" s="87"/>
      <c r="M112" s="105" t="str">
        <f t="shared" si="9"/>
        <v>860</v>
      </c>
      <c r="N112" s="87" t="str">
        <f>_xll.EPMMemberProperty(, K112, "CALC")</f>
        <v>Y</v>
      </c>
      <c r="O112" s="106" t="str">
        <f>IF(I112="", _xll.EPMMemberDesc(K112), I112)</f>
        <v>Varausten muutos</v>
      </c>
      <c r="P112" s="87"/>
      <c r="Q112" s="87"/>
      <c r="R112" s="87"/>
      <c r="S112" s="87"/>
      <c r="T112" s="87">
        <f t="shared" si="10"/>
        <v>0</v>
      </c>
      <c r="U112" s="124"/>
      <c r="V112" s="127">
        <f>_xll.EPMRetrieveData(, $V$19, $V$20, $V$21, $V$22, $V$23, $V$24, $V$25, G112, $P$132)</f>
        <v>0</v>
      </c>
      <c r="W112" s="129">
        <f t="shared" si="11"/>
        <v>0</v>
      </c>
      <c r="X112" s="127">
        <f>_xll.EPMRetrieveData(, $X$20, $X$21, $X$22, $X$23, $X$24, $X$25, G112, $P$132)</f>
        <v>0</v>
      </c>
      <c r="Y112" s="87">
        <f t="shared" si="12"/>
        <v>0</v>
      </c>
      <c r="Z112" s="87">
        <f>IF(K112="", "", _xll.EPMSaveData(V112, , $Z$19, $Z$20, $Z$21, $Z$22, $Z$23, $Z$24, $Z$25, G112, $P$132))</f>
        <v>0</v>
      </c>
      <c r="AA112" s="87">
        <f>IF(K112="", "", _xll.EPMSaveData(X112, , $AA$19, $AA$20, $AA$21, $AA$22, $AA$23, $AA$24, $AA$25, G112, $P$132))</f>
        <v>0</v>
      </c>
    </row>
    <row r="113" spans="6:27" x14ac:dyDescent="0.25">
      <c r="F113" s="152" t="s">
        <v>234</v>
      </c>
      <c r="G113" s="77" t="s">
        <v>161</v>
      </c>
      <c r="I113" s="106" t="s">
        <v>208</v>
      </c>
      <c r="K113" s="138" t="str">
        <f xml:space="preserve"> _xll.EPMOlapMemberO("[TILI].[PARENTH1].[1000870A]","","1000870A","","000")</f>
        <v>1000870A</v>
      </c>
      <c r="L113" s="87"/>
      <c r="M113" s="105" t="str">
        <f t="shared" si="9"/>
        <v>870</v>
      </c>
      <c r="N113" s="87" t="str">
        <f>_xll.EPMMemberProperty(, K113, "CALC")</f>
        <v>Y</v>
      </c>
      <c r="O113" s="106" t="str">
        <f>IF(I113="", _xll.EPMMemberDesc(K113), I113)</f>
        <v>Rahastojen muutos</v>
      </c>
      <c r="P113" s="87"/>
      <c r="Q113" s="87"/>
      <c r="R113" s="87"/>
      <c r="S113" s="87"/>
      <c r="T113" s="87">
        <f t="shared" si="10"/>
        <v>0</v>
      </c>
      <c r="U113" s="130"/>
      <c r="V113" s="131">
        <f>_xll.EPMRetrieveData(, $V$19, $V$20, $V$21, $V$22, $V$23, $V$24, $V$25, G113, $P$132)</f>
        <v>0</v>
      </c>
      <c r="W113" s="132">
        <f t="shared" si="11"/>
        <v>0</v>
      </c>
      <c r="X113" s="131">
        <f>_xll.EPMRetrieveData(, $X$20, $X$21, $X$22, $X$23, $X$24, $X$25, G113, $P$132)</f>
        <v>0</v>
      </c>
      <c r="Y113" s="87">
        <f t="shared" si="12"/>
        <v>0</v>
      </c>
      <c r="Z113" s="87">
        <f>IF(K113="", "", _xll.EPMSaveData(V113, , $Z$19, $Z$20, $Z$21, $Z$22, $Z$23, $Z$24, $Z$25, G113, $P$132))</f>
        <v>0</v>
      </c>
      <c r="AA113" s="87">
        <f>IF(K113="", "", _xll.EPMSaveData(X113, , $AA$19, $AA$20, $AA$21, $AA$22, $AA$23, $AA$24, $AA$25, G113, $P$132))</f>
        <v>0</v>
      </c>
    </row>
    <row r="114" spans="6:27" ht="16.5" thickBot="1" x14ac:dyDescent="0.3">
      <c r="F114" s="152" t="s">
        <v>233</v>
      </c>
      <c r="I114" s="103" t="s">
        <v>78</v>
      </c>
      <c r="K114" s="86" t="str">
        <f xml:space="preserve"> _xll.FPMXLClient.TechnicalCategory.EPMLocalMember("","020","000")</f>
        <v/>
      </c>
      <c r="L114" s="88"/>
      <c r="M114" s="102" t="str">
        <f t="shared" si="9"/>
        <v/>
      </c>
      <c r="N114" s="102" t="str">
        <f>_xll.EPMMemberProperty(, K114, "CALC")</f>
        <v/>
      </c>
      <c r="O114" s="103" t="str">
        <f>IF(I114="", _xll.EPMMemberDesc(K114), I114)</f>
        <v>TILIKAUDEN YLIJÄÄMÄ/ALIJÄÄMÄ</v>
      </c>
      <c r="P114" s="102">
        <f t="shared" ref="M114:AA114" si="14">P108+P110</f>
        <v>-442521.80000000005</v>
      </c>
      <c r="Q114" s="102">
        <f t="shared" si="14"/>
        <v>-491999.4019992</v>
      </c>
      <c r="R114" s="102">
        <f t="shared" si="14"/>
        <v>0</v>
      </c>
      <c r="S114" s="102">
        <f t="shared" si="14"/>
        <v>0</v>
      </c>
      <c r="T114" s="102">
        <f t="shared" si="10"/>
        <v>-491999.4019992</v>
      </c>
      <c r="U114" s="102">
        <f t="shared" si="14"/>
        <v>-241125.66</v>
      </c>
      <c r="V114" s="102">
        <f>V108+V110</f>
        <v>0</v>
      </c>
      <c r="W114" s="102">
        <f t="shared" si="11"/>
        <v>-241125.66</v>
      </c>
      <c r="X114" s="102">
        <f>X108+X110</f>
        <v>-492000</v>
      </c>
      <c r="Y114" s="102">
        <f t="shared" si="12"/>
        <v>-0.59800080000422895</v>
      </c>
      <c r="Z114" s="104" t="str">
        <f>IF(K114="", "", _xll.EPMSaveData(V114, , $Z$19, $Z$20, $Z$21, $Z$22, $Z$23, $Z$24, $Z$25, G114, $P$132))</f>
        <v/>
      </c>
      <c r="AA114" s="104" t="str">
        <f>IF(K114="", "", _xll.EPMSaveData(X114, , $AA$19, $AA$20, $AA$21, $AA$22, $AA$23, $AA$24, $AA$25, G114, $P$132))</f>
        <v/>
      </c>
    </row>
    <row r="115" spans="6:27" ht="15.75" thickTop="1" x14ac:dyDescent="0.25">
      <c r="F115" s="152"/>
    </row>
    <row r="122" spans="6:27" x14ac:dyDescent="0.25">
      <c r="O122" s="107" t="s">
        <v>0</v>
      </c>
      <c r="P122" s="77" t="s">
        <v>1</v>
      </c>
    </row>
    <row r="123" spans="6:27" x14ac:dyDescent="0.25">
      <c r="O123" s="107" t="s">
        <v>2</v>
      </c>
      <c r="P123" s="77" t="str">
        <f>_xll.EPMContextMember(,O123)</f>
        <v>2018.vuosi_syöttö</v>
      </c>
      <c r="R123" s="77" t="str">
        <f>_xll.EPMMemberDesc(P123)</f>
        <v>2018</v>
      </c>
    </row>
    <row r="124" spans="6:27" x14ac:dyDescent="0.25">
      <c r="O124" s="107" t="s">
        <v>3</v>
      </c>
      <c r="P124" s="77" t="str">
        <f>_xll.EPMContextMember(,$O$124)</f>
        <v>KUMPPANI:1001</v>
      </c>
      <c r="R124" s="77" t="str">
        <f>_xll.EPMMemberDesc(P124)</f>
        <v>Turun kaupunki</v>
      </c>
    </row>
    <row r="125" spans="6:27" x14ac:dyDescent="0.25">
      <c r="O125" s="107" t="s">
        <v>4</v>
      </c>
      <c r="P125" s="77" t="str">
        <f>_xll.EPMContextMember(,O125)</f>
        <v>TLK3_TA</v>
      </c>
      <c r="R125" s="77" t="str">
        <f>_xll.EPMMemberDesc(P125)</f>
        <v>Tarkastuslautakunta</v>
      </c>
    </row>
    <row r="126" spans="6:27" x14ac:dyDescent="0.25">
      <c r="O126" s="107" t="s">
        <v>5</v>
      </c>
      <c r="P126" s="77" t="str">
        <f>_xll.EPMContextMember(,O126)</f>
        <v>PERIODIC</v>
      </c>
      <c r="R126" s="77" t="str">
        <f>_xll.EPMMemberDesc(P126)</f>
        <v>Periodic</v>
      </c>
    </row>
    <row r="127" spans="6:27" x14ac:dyDescent="0.25">
      <c r="O127" s="107" t="s">
        <v>6</v>
      </c>
      <c r="P127" s="77" t="str">
        <f>_xll.EPMContextMember(,O127)</f>
        <v>YHTEENSA</v>
      </c>
      <c r="R127" s="77" t="str">
        <f>_xll.EPMMemberDesc(P127)</f>
        <v>Tilastolliset tilaukset YHTEENSÄ</v>
      </c>
    </row>
    <row r="128" spans="6:27" x14ac:dyDescent="0.25">
      <c r="O128" s="107" t="s">
        <v>7</v>
      </c>
      <c r="P128" s="77" t="str">
        <f>_xll.EPMContextMember(,O128)</f>
        <v>1000TM</v>
      </c>
      <c r="R128" s="77" t="str">
        <f>_xll.EPMMemberDesc(P128)</f>
        <v>TKU KUSTANNUSLAJIT</v>
      </c>
    </row>
    <row r="129" spans="15:18" x14ac:dyDescent="0.25">
      <c r="O129" s="107" t="s">
        <v>8</v>
      </c>
      <c r="P129" s="77" t="str">
        <f>_xll.EPMContextMember(,O129)</f>
        <v>A000</v>
      </c>
      <c r="R129" s="77" t="str">
        <f>_xll.EPMMemberDesc(P129)</f>
        <v>Ei Määritelty</v>
      </c>
    </row>
    <row r="130" spans="15:18" x14ac:dyDescent="0.25">
      <c r="O130" s="107" t="s">
        <v>9</v>
      </c>
      <c r="P130" s="77" t="str">
        <f>_xll.EPMContextMember(,O130)</f>
        <v>HA</v>
      </c>
      <c r="R130" s="77" t="str">
        <f>_xll.EPMMemberDesc(P130)</f>
        <v>Hankinta-arvo</v>
      </c>
    </row>
    <row r="131" spans="15:18" x14ac:dyDescent="0.25">
      <c r="O131" s="107" t="s">
        <v>10</v>
      </c>
      <c r="P131" s="77" t="str">
        <f>_xll.EPMContextMember(,O131)</f>
        <v>ENN_V6</v>
      </c>
      <c r="R131" s="77" t="str">
        <f>_xll.EPMMemberDesc(P131)</f>
        <v>Kesäkuu</v>
      </c>
    </row>
    <row r="132" spans="15:18" x14ac:dyDescent="0.25">
      <c r="O132" s="107" t="s">
        <v>11</v>
      </c>
      <c r="P132" s="77" t="str">
        <f>_xll.EPMContextMember(,O132)</f>
        <v>YRITYS:1002</v>
      </c>
      <c r="R132" s="77" t="str">
        <f>_xll.EPMMemberDesc(P132)</f>
        <v>Turun peruskaupunki</v>
      </c>
    </row>
    <row r="133" spans="15:18" x14ac:dyDescent="0.25">
      <c r="O133" s="107" t="s">
        <v>12</v>
      </c>
      <c r="P133" s="77" t="str">
        <f>_xll.EPMUser()</f>
        <v>IFALER</v>
      </c>
    </row>
  </sheetData>
  <pageMargins left="0.7" right="0.7" top="0.75" bottom="0.75" header="0.3" footer="0.3"/>
  <pageSetup scale="40" orientation="landscape" r:id="rId1"/>
  <customProperties>
    <customPr name="EpmWorksheetKeyString_GUID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1028" r:id="rId6" name="AnalyzerDynReport000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247650</xdr:colOff>
                <xdr:row>0</xdr:row>
                <xdr:rowOff>0</xdr:rowOff>
              </to>
            </anchor>
          </controlPr>
        </control>
      </mc:Choice>
      <mc:Fallback>
        <control shapeId="1028" r:id="rId6" name="AnalyzerDynReport000tb1"/>
      </mc:Fallback>
    </mc:AlternateContent>
    <mc:AlternateContent xmlns:mc="http://schemas.openxmlformats.org/markup-compatibility/2006">
      <mc:Choice Requires="x14">
        <control shapeId="1027" r:id="rId8" name="MultipleReportManagerInfotb1">
          <controlPr defaultSize="0" autoLine="0" autoPict="0" r:id="rId9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247650</xdr:colOff>
                <xdr:row>0</xdr:row>
                <xdr:rowOff>0</xdr:rowOff>
              </to>
            </anchor>
          </controlPr>
        </control>
      </mc:Choice>
      <mc:Fallback>
        <control shapeId="1027" r:id="rId8" name="MultipleReportManagerInfotb1"/>
      </mc:Fallback>
    </mc:AlternateContent>
    <mc:AlternateContent xmlns:mc="http://schemas.openxmlformats.org/markup-compatibility/2006">
      <mc:Choice Requires="x14">
        <control shapeId="1026" r:id="rId10" name="ConnectionDescriptorsInfotb1">
          <controlPr defaultSize="0" autoLine="0" autoPict="0" r:id="rId11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247650</xdr:colOff>
                <xdr:row>0</xdr:row>
                <xdr:rowOff>0</xdr:rowOff>
              </to>
            </anchor>
          </controlPr>
        </control>
      </mc:Choice>
      <mc:Fallback>
        <control shapeId="1026" r:id="rId10" name="ConnectionDescriptorsInfotb1"/>
      </mc:Fallback>
    </mc:AlternateContent>
    <mc:AlternateContent xmlns:mc="http://schemas.openxmlformats.org/markup-compatibility/2006">
      <mc:Choice Requires="x14">
        <control shapeId="1025" r:id="rId12" name="FPMExcelClientSheetOptionstb1">
          <controlPr defaultSize="0" autoLine="0" autoPict="0" r:id="rId13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247650</xdr:colOff>
                <xdr:row>0</xdr:row>
                <xdr:rowOff>0</xdr:rowOff>
              </to>
            </anchor>
          </controlPr>
        </control>
      </mc:Choice>
      <mc:Fallback>
        <control shapeId="1025" r:id="rId12" name="FPMExcelClientSheetOptionstb1"/>
      </mc:Fallback>
    </mc:AlternateContent>
    <mc:AlternateContent xmlns:mc="http://schemas.openxmlformats.org/markup-compatibility/2006">
      <mc:Choice Requires="x14">
        <control shapeId="1029" r:id="rId14" name="ReportSubmitManagerControltb1">
          <controlPr defaultSize="0" autoLine="0" autoPict="0" r:id="rId1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1029" r:id="rId14" name="ReportSubmitManagerControltb1"/>
      </mc:Fallback>
    </mc:AlternateContent>
    <mc:AlternateContent xmlns:mc="http://schemas.openxmlformats.org/markup-compatibility/2006">
      <mc:Choice Requires="x14">
        <control shapeId="1030" r:id="rId16" name="ReportSubmitControl_1tb1">
          <controlPr defaultSize="0" autoLine="0" autoPict="0" r:id="rId1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1030" r:id="rId16" name="ReportSubmitControl_1tb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EPMMuotoilutaulukko</vt:lpstr>
      <vt:lpstr>Tuloslaskelma</vt:lpstr>
      <vt:lpstr>Tuloslaskelma!Tulostusalue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Hannu Aalto</dc:creator>
  <cp:lastModifiedBy>Faler Ismo</cp:lastModifiedBy>
  <cp:lastPrinted>2018-08-10T07:20:01Z</cp:lastPrinted>
  <dcterms:created xsi:type="dcterms:W3CDTF">2017-08-31T12:46:58Z</dcterms:created>
  <dcterms:modified xsi:type="dcterms:W3CDTF">2018-08-21T12:02:39Z</dcterms:modified>
</cp:coreProperties>
</file>