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B36A41D7-2294-489D-B074-4FDC23D30A31}" xr6:coauthVersionLast="45" xr6:coauthVersionMax="45" xr10:uidLastSave="{00000000-0000-0000-0000-000000000000}"/>
  <bookViews>
    <workbookView xWindow="-108" yWindow="-108" windowWidth="23256" windowHeight="12576" xr2:uid="{EFDED2F2-D9CE-43FB-9D32-974E6E7400D6}"/>
  </bookViews>
  <sheets>
    <sheet name="TAE 2021 TA2020 jako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5" i="1" l="1"/>
  <c r="AP6" i="1"/>
  <c r="AO6" i="1"/>
  <c r="AK26" i="1" l="1"/>
  <c r="AJ26" i="1"/>
  <c r="AH26" i="1"/>
  <c r="U26" i="1"/>
  <c r="S26" i="1"/>
  <c r="R26" i="1"/>
  <c r="P26" i="1"/>
  <c r="O26" i="1"/>
  <c r="N26" i="1"/>
  <c r="I26" i="1"/>
  <c r="H26" i="1"/>
  <c r="F26" i="1"/>
  <c r="E26" i="1"/>
  <c r="D26" i="1"/>
  <c r="AN25" i="1"/>
  <c r="AM25" i="1"/>
  <c r="AL25" i="1"/>
  <c r="AH25" i="1"/>
  <c r="AG25" i="1"/>
  <c r="AD25" i="1"/>
  <c r="AD26" i="1" s="1"/>
  <c r="AC25" i="1"/>
  <c r="AC26" i="1" s="1"/>
  <c r="V25" i="1"/>
  <c r="T25" i="1"/>
  <c r="T5" i="1" s="1"/>
  <c r="L25" i="1"/>
  <c r="L27" i="1" s="1"/>
  <c r="K25" i="1"/>
  <c r="N25" i="1" s="1"/>
  <c r="F25" i="1"/>
  <c r="Q25" i="1" s="1"/>
  <c r="C25" i="1"/>
  <c r="AF25" i="1" s="1"/>
  <c r="AN24" i="1"/>
  <c r="AM24" i="1"/>
  <c r="AL24" i="1"/>
  <c r="AI24" i="1"/>
  <c r="AH24" i="1"/>
  <c r="AG24" i="1"/>
  <c r="AF24" i="1"/>
  <c r="AE24" i="1"/>
  <c r="AD24" i="1"/>
  <c r="AC24" i="1"/>
  <c r="V24" i="1"/>
  <c r="T24" i="1"/>
  <c r="O24" i="1"/>
  <c r="N24" i="1"/>
  <c r="J24" i="1"/>
  <c r="AH23" i="1"/>
  <c r="Y23" i="1"/>
  <c r="V23" i="1"/>
  <c r="T23" i="1"/>
  <c r="Q23" i="1"/>
  <c r="AA23" i="1" s="1"/>
  <c r="N23" i="1"/>
  <c r="AN22" i="1"/>
  <c r="AK22" i="1"/>
  <c r="AJ22" i="1"/>
  <c r="AH22" i="1"/>
  <c r="AG22" i="1"/>
  <c r="AC22" i="1"/>
  <c r="U22" i="1"/>
  <c r="T22" i="1"/>
  <c r="S22" i="1"/>
  <c r="R22" i="1"/>
  <c r="N22" i="1"/>
  <c r="F22" i="1"/>
  <c r="E22" i="1"/>
  <c r="D22" i="1"/>
  <c r="C22" i="1"/>
  <c r="AF22" i="1" s="1"/>
  <c r="AN21" i="1"/>
  <c r="AM21" i="1"/>
  <c r="AL21" i="1"/>
  <c r="AI21" i="1"/>
  <c r="AH21" i="1"/>
  <c r="AG21" i="1"/>
  <c r="AF21" i="1"/>
  <c r="AE21" i="1"/>
  <c r="AD21" i="1"/>
  <c r="AC21" i="1"/>
  <c r="V21" i="1"/>
  <c r="T21" i="1"/>
  <c r="Q21" i="1"/>
  <c r="N21" i="1"/>
  <c r="AN20" i="1"/>
  <c r="AM20" i="1"/>
  <c r="AL20" i="1"/>
  <c r="AI20" i="1"/>
  <c r="AH20" i="1"/>
  <c r="AG20" i="1"/>
  <c r="AE20" i="1"/>
  <c r="AD20" i="1"/>
  <c r="AD22" i="1" s="1"/>
  <c r="AC20" i="1"/>
  <c r="W20" i="1"/>
  <c r="V20" i="1"/>
  <c r="T20" i="1"/>
  <c r="Q20" i="1"/>
  <c r="AA20" i="1" s="1"/>
  <c r="N20" i="1"/>
  <c r="AH19" i="1"/>
  <c r="V19" i="1"/>
  <c r="T19" i="1"/>
  <c r="Q19" i="1"/>
  <c r="N19" i="1"/>
  <c r="AN18" i="1"/>
  <c r="AK18" i="1"/>
  <c r="AJ18" i="1"/>
  <c r="AI18" i="1"/>
  <c r="AH18" i="1"/>
  <c r="AB18" i="1"/>
  <c r="U18" i="1"/>
  <c r="S18" i="1"/>
  <c r="AG18" i="1" s="1"/>
  <c r="R18" i="1"/>
  <c r="AF18" i="1" s="1"/>
  <c r="N18" i="1"/>
  <c r="F18" i="1"/>
  <c r="E18" i="1"/>
  <c r="D18" i="1"/>
  <c r="C18" i="1"/>
  <c r="AE18" i="1" s="1"/>
  <c r="AN17" i="1"/>
  <c r="AM17" i="1"/>
  <c r="AL17" i="1"/>
  <c r="AI17" i="1"/>
  <c r="AH17" i="1"/>
  <c r="AG17" i="1"/>
  <c r="AF17" i="1"/>
  <c r="AE17" i="1"/>
  <c r="AD17" i="1"/>
  <c r="AD18" i="1" s="1"/>
  <c r="AC17" i="1"/>
  <c r="AC18" i="1" s="1"/>
  <c r="AA17" i="1"/>
  <c r="Z17" i="1"/>
  <c r="Y17" i="1"/>
  <c r="Y18" i="1" s="1"/>
  <c r="W17" i="1"/>
  <c r="W18" i="1" s="1"/>
  <c r="V17" i="1"/>
  <c r="T17" i="1"/>
  <c r="Q17" i="1"/>
  <c r="Q18" i="1" s="1"/>
  <c r="AA18" i="1" s="1"/>
  <c r="N17" i="1"/>
  <c r="AN16" i="1"/>
  <c r="AM16" i="1"/>
  <c r="AL16" i="1"/>
  <c r="AI16" i="1"/>
  <c r="AH16" i="1"/>
  <c r="AG16" i="1"/>
  <c r="AF16" i="1"/>
  <c r="AE16" i="1"/>
  <c r="AD16" i="1"/>
  <c r="AC16" i="1"/>
  <c r="AA16" i="1"/>
  <c r="Z16" i="1"/>
  <c r="Y16" i="1"/>
  <c r="W16" i="1"/>
  <c r="V16" i="1"/>
  <c r="T16" i="1"/>
  <c r="Q16" i="1"/>
  <c r="AB16" i="1" s="1"/>
  <c r="N16" i="1"/>
  <c r="V15" i="1"/>
  <c r="T15" i="1"/>
  <c r="Q15" i="1"/>
  <c r="N15" i="1"/>
  <c r="AN14" i="1"/>
  <c r="AM14" i="1"/>
  <c r="AK14" i="1"/>
  <c r="AJ14" i="1"/>
  <c r="AI14" i="1"/>
  <c r="AG14" i="1"/>
  <c r="AE14" i="1"/>
  <c r="AB14" i="1"/>
  <c r="X14" i="1"/>
  <c r="W14" i="1"/>
  <c r="U14" i="1"/>
  <c r="S14" i="1"/>
  <c r="Z14" i="1" s="1"/>
  <c r="R14" i="1"/>
  <c r="Q14" i="1"/>
  <c r="N14" i="1"/>
  <c r="F14" i="1"/>
  <c r="F6" i="1" s="1"/>
  <c r="D14" i="1"/>
  <c r="C14" i="1"/>
  <c r="AF14" i="1" s="1"/>
  <c r="AN13" i="1"/>
  <c r="AM13" i="1"/>
  <c r="AL13" i="1"/>
  <c r="AI13" i="1"/>
  <c r="AH13" i="1"/>
  <c r="AG13" i="1"/>
  <c r="AF13" i="1"/>
  <c r="AE13" i="1"/>
  <c r="AD13" i="1"/>
  <c r="AC13" i="1"/>
  <c r="AC14" i="1" s="1"/>
  <c r="AA13" i="1"/>
  <c r="Z13" i="1"/>
  <c r="Y13" i="1"/>
  <c r="Y14" i="1" s="1"/>
  <c r="W13" i="1"/>
  <c r="V13" i="1"/>
  <c r="V5" i="1" s="1"/>
  <c r="T13" i="1"/>
  <c r="Q13" i="1"/>
  <c r="AB13" i="1" s="1"/>
  <c r="N13" i="1"/>
  <c r="AN12" i="1"/>
  <c r="AM12" i="1"/>
  <c r="AL12" i="1"/>
  <c r="AI12" i="1"/>
  <c r="AH12" i="1"/>
  <c r="AG12" i="1"/>
  <c r="AF12" i="1"/>
  <c r="AE12" i="1"/>
  <c r="AE4" i="1" s="1"/>
  <c r="AD12" i="1"/>
  <c r="AC12" i="1"/>
  <c r="AA12" i="1"/>
  <c r="Z12" i="1"/>
  <c r="Y12" i="1"/>
  <c r="W12" i="1"/>
  <c r="V12" i="1"/>
  <c r="T12" i="1"/>
  <c r="T4" i="1" s="1"/>
  <c r="Q12" i="1"/>
  <c r="AB12" i="1" s="1"/>
  <c r="N12" i="1"/>
  <c r="AH11" i="1"/>
  <c r="V11" i="1"/>
  <c r="T11" i="1"/>
  <c r="Q11" i="1"/>
  <c r="N11" i="1"/>
  <c r="AJ10" i="1"/>
  <c r="AG10" i="1"/>
  <c r="V10" i="1"/>
  <c r="U10" i="1"/>
  <c r="S10" i="1"/>
  <c r="R10" i="1"/>
  <c r="R6" i="1" s="1"/>
  <c r="N10" i="1"/>
  <c r="F10" i="1"/>
  <c r="E10" i="1"/>
  <c r="E6" i="1" s="1"/>
  <c r="D10" i="1"/>
  <c r="C10" i="1"/>
  <c r="AN9" i="1"/>
  <c r="AM9" i="1"/>
  <c r="AL9" i="1"/>
  <c r="AI9" i="1"/>
  <c r="AH9" i="1"/>
  <c r="AG9" i="1"/>
  <c r="AF9" i="1"/>
  <c r="AE9" i="1"/>
  <c r="AD9" i="1"/>
  <c r="AC9" i="1"/>
  <c r="AC10" i="1" s="1"/>
  <c r="AC6" i="1" s="1"/>
  <c r="V9" i="1"/>
  <c r="T9" i="1"/>
  <c r="Q9" i="1"/>
  <c r="Z9" i="1" s="1"/>
  <c r="N9" i="1"/>
  <c r="AK8" i="1"/>
  <c r="AN8" i="1" s="1"/>
  <c r="AJ8" i="1"/>
  <c r="AI8" i="1"/>
  <c r="AH8" i="1"/>
  <c r="AG8" i="1"/>
  <c r="AF8" i="1"/>
  <c r="AE8" i="1"/>
  <c r="AD8" i="1"/>
  <c r="AC8" i="1"/>
  <c r="AC4" i="1" s="1"/>
  <c r="AA8" i="1"/>
  <c r="Z8" i="1"/>
  <c r="Y8" i="1"/>
  <c r="W8" i="1"/>
  <c r="V8" i="1"/>
  <c r="T8" i="1"/>
  <c r="Q8" i="1"/>
  <c r="AB8" i="1" s="1"/>
  <c r="N8" i="1"/>
  <c r="N4" i="1" s="1"/>
  <c r="AH7" i="1"/>
  <c r="V7" i="1"/>
  <c r="T7" i="1"/>
  <c r="Q7" i="1"/>
  <c r="AJ6" i="1"/>
  <c r="U6" i="1"/>
  <c r="G6" i="1"/>
  <c r="AN5" i="1"/>
  <c r="AK5" i="1"/>
  <c r="AJ5" i="1"/>
  <c r="AI5" i="1"/>
  <c r="AC5" i="1"/>
  <c r="U5" i="1"/>
  <c r="S5" i="1"/>
  <c r="R5" i="1"/>
  <c r="O5" i="1"/>
  <c r="O6" i="1" s="1"/>
  <c r="N5" i="1"/>
  <c r="N6" i="1" s="1"/>
  <c r="M5" i="1"/>
  <c r="M6" i="1" s="1"/>
  <c r="M27" i="1" s="1"/>
  <c r="L5" i="1"/>
  <c r="L6" i="1" s="1"/>
  <c r="K5" i="1"/>
  <c r="K6" i="1" s="1"/>
  <c r="I5" i="1"/>
  <c r="I6" i="1" s="1"/>
  <c r="H5" i="1"/>
  <c r="H6" i="1" s="1"/>
  <c r="G5" i="1"/>
  <c r="F5" i="1"/>
  <c r="E5" i="1"/>
  <c r="D5" i="1"/>
  <c r="C5" i="1"/>
  <c r="AF5" i="1" s="1"/>
  <c r="AJ4" i="1"/>
  <c r="AI4" i="1"/>
  <c r="AG4" i="1"/>
  <c r="U4" i="1"/>
  <c r="S4" i="1"/>
  <c r="R4" i="1"/>
  <c r="O4" i="1"/>
  <c r="M4" i="1"/>
  <c r="L4" i="1"/>
  <c r="K4" i="1"/>
  <c r="I4" i="1"/>
  <c r="H4" i="1"/>
  <c r="G4" i="1"/>
  <c r="F4" i="1"/>
  <c r="E4" i="1"/>
  <c r="D4" i="1"/>
  <c r="C4" i="1"/>
  <c r="AF4" i="1" s="1"/>
  <c r="N27" i="1" l="1"/>
  <c r="Z5" i="1"/>
  <c r="X9" i="1"/>
  <c r="AL18" i="1"/>
  <c r="Z21" i="1"/>
  <c r="Y21" i="1"/>
  <c r="Y22" i="1" s="1"/>
  <c r="X21" i="1"/>
  <c r="T26" i="1"/>
  <c r="Z26" i="1"/>
  <c r="AL26" i="1"/>
  <c r="AD4" i="1"/>
  <c r="AH4" i="1"/>
  <c r="AL8" i="1"/>
  <c r="Y9" i="1"/>
  <c r="X10" i="1"/>
  <c r="AH10" i="1"/>
  <c r="T18" i="1"/>
  <c r="X18" i="1"/>
  <c r="AM18" i="1"/>
  <c r="Y20" i="1"/>
  <c r="AA21" i="1"/>
  <c r="Q26" i="1"/>
  <c r="AB25" i="1"/>
  <c r="X25" i="1"/>
  <c r="AA25" i="1"/>
  <c r="W25" i="1"/>
  <c r="AM26" i="1"/>
  <c r="Q5" i="1"/>
  <c r="AL5" i="1"/>
  <c r="AM8" i="1"/>
  <c r="AA9" i="1"/>
  <c r="AA5" i="1" s="1"/>
  <c r="AE10" i="1"/>
  <c r="T10" i="1"/>
  <c r="T6" i="1" s="1"/>
  <c r="AD10" i="1"/>
  <c r="AD6" i="1" s="1"/>
  <c r="AD14" i="1"/>
  <c r="AD5" i="1"/>
  <c r="AH14" i="1"/>
  <c r="AH5" i="1"/>
  <c r="T14" i="1"/>
  <c r="Z18" i="1"/>
  <c r="AB21" i="1"/>
  <c r="Q22" i="1"/>
  <c r="AI22" i="1"/>
  <c r="AE22" i="1"/>
  <c r="V22" i="1"/>
  <c r="Y25" i="1"/>
  <c r="V26" i="1"/>
  <c r="K27" i="1"/>
  <c r="Q4" i="1"/>
  <c r="AK4" i="1"/>
  <c r="AG5" i="1"/>
  <c r="AM5" i="1"/>
  <c r="S6" i="1"/>
  <c r="V4" i="1"/>
  <c r="W9" i="1"/>
  <c r="AB9" i="1"/>
  <c r="D6" i="1"/>
  <c r="Q10" i="1"/>
  <c r="AI10" i="1"/>
  <c r="AA10" i="1"/>
  <c r="AF10" i="1"/>
  <c r="AK10" i="1"/>
  <c r="V14" i="1"/>
  <c r="V6" i="1" s="1"/>
  <c r="AA14" i="1"/>
  <c r="AL14" i="1"/>
  <c r="V18" i="1"/>
  <c r="W21" i="1"/>
  <c r="W22" i="1" s="1"/>
  <c r="AM22" i="1"/>
  <c r="AL22" i="1"/>
  <c r="J27" i="1"/>
  <c r="Q24" i="1"/>
  <c r="Z25" i="1"/>
  <c r="AE25" i="1"/>
  <c r="AE5" i="1" s="1"/>
  <c r="AI25" i="1"/>
  <c r="C26" i="1"/>
  <c r="AG26" i="1" s="1"/>
  <c r="X8" i="1"/>
  <c r="X12" i="1"/>
  <c r="X13" i="1"/>
  <c r="X16" i="1"/>
  <c r="X17" i="1"/>
  <c r="AB17" i="1"/>
  <c r="AF26" i="1" l="1"/>
  <c r="X4" i="1"/>
  <c r="AB4" i="1"/>
  <c r="Z22" i="1"/>
  <c r="X22" i="1"/>
  <c r="AB22" i="1"/>
  <c r="AB24" i="1"/>
  <c r="X24" i="1"/>
  <c r="AA24" i="1"/>
  <c r="AA4" i="1" s="1"/>
  <c r="W24" i="1"/>
  <c r="W4" i="1" s="1"/>
  <c r="Z24" i="1"/>
  <c r="Y24" i="1"/>
  <c r="Y4" i="1" s="1"/>
  <c r="W10" i="1"/>
  <c r="W5" i="1"/>
  <c r="AE6" i="1"/>
  <c r="Z4" i="1"/>
  <c r="AN26" i="1"/>
  <c r="AE26" i="1"/>
  <c r="AI26" i="1"/>
  <c r="C6" i="1"/>
  <c r="AG6" i="1"/>
  <c r="AA6" i="1"/>
  <c r="AA22" i="1"/>
  <c r="AB26" i="1"/>
  <c r="AA26" i="1"/>
  <c r="Y10" i="1"/>
  <c r="Y5" i="1"/>
  <c r="X26" i="1"/>
  <c r="AM10" i="1"/>
  <c r="AN10" i="1"/>
  <c r="AK6" i="1"/>
  <c r="AL10" i="1"/>
  <c r="Z10" i="1"/>
  <c r="AB10" i="1"/>
  <c r="AL4" i="1"/>
  <c r="AN4" i="1"/>
  <c r="AM4" i="1"/>
  <c r="Y26" i="1"/>
  <c r="Q6" i="1"/>
  <c r="Z6" i="1" s="1"/>
  <c r="X5" i="1"/>
  <c r="AH6" i="1"/>
  <c r="AB5" i="1"/>
  <c r="W26" i="1" l="1"/>
  <c r="W6" i="1"/>
  <c r="Y6" i="1"/>
  <c r="AB6" i="1"/>
  <c r="X6" i="1"/>
  <c r="AL6" i="1"/>
  <c r="AN6" i="1"/>
  <c r="AM6" i="1"/>
  <c r="AI6" i="1"/>
  <c r="AF6" i="1"/>
</calcChain>
</file>

<file path=xl/sharedStrings.xml><?xml version="1.0" encoding="utf-8"?>
<sst xmlns="http://schemas.openxmlformats.org/spreadsheetml/2006/main" count="97" uniqueCount="55">
  <si>
    <t>TP 2019 (EUR)</t>
  </si>
  <si>
    <t>TA 2020</t>
  </si>
  <si>
    <t>Sisäinen siirto
muutokset
2020</t>
  </si>
  <si>
    <t>20200 ja Heinämäki Siirto konserniin</t>
  </si>
  <si>
    <t xml:space="preserve">Henkilöstöjohtaja  26.5.2020/29.09.2020  C §10/ Nro 1 6056-2020 </t>
  </si>
  <si>
    <t>Vuoden 2020 toinen osavuosikatsaus Kv 21.9.2020 § 150</t>
  </si>
  <si>
    <t>Palkkavarausmääräraha</t>
  </si>
  <si>
    <t>Tulojen vähennys OVK 2
357000</t>
  </si>
  <si>
    <t>Palkkavaraus</t>
  </si>
  <si>
    <t>OVK 2 muut kulut 497000</t>
  </si>
  <si>
    <t>siäiset vuokrat 948000</t>
  </si>
  <si>
    <t xml:space="preserve">OVK II MS YHT
Yhteensä </t>
  </si>
  <si>
    <t>OVK II
 MS 
SS</t>
  </si>
  <si>
    <t>OVK III
MS</t>
  </si>
  <si>
    <t xml:space="preserve">TA 2020
muutoksineen
</t>
  </si>
  <si>
    <t>Ennuste 
OVK I</t>
  </si>
  <si>
    <t>Ennuste 
OVK II</t>
  </si>
  <si>
    <t>Muutos  OVK II / 
OVK I</t>
  </si>
  <si>
    <t>TP 2020 
(EUR)</t>
  </si>
  <si>
    <t>Muutos  OVK III / OVK II</t>
  </si>
  <si>
    <t>Poikkeama
 OVK I 2020 / TA 2020</t>
  </si>
  <si>
    <t>Poikkeama
 OVK I 2020 /TA 2020</t>
  </si>
  <si>
    <t>Poikkeama
 OVK II 2020 / TA 2020</t>
  </si>
  <si>
    <t>Poikkeama
TP 2020/
TA 2020</t>
  </si>
  <si>
    <t>Poikkeama
 TP 2020 /
TA 2020</t>
  </si>
  <si>
    <t>Muutos
 OVK I 2020/
TP 2019</t>
  </si>
  <si>
    <t>Muutos
 OVK II 2020/
TP 2019</t>
  </si>
  <si>
    <t>Muutos
 OVK III 2020/
TP 2019</t>
  </si>
  <si>
    <t>Muutos 
OVK I 2020/
TP 2019</t>
  </si>
  <si>
    <t>Muutos 
OVK II 2020/
TP 2019</t>
  </si>
  <si>
    <t>Muutos
TP 2020/
TP 2019</t>
  </si>
  <si>
    <t>Muutos 
TP 2020/
TP 2019</t>
  </si>
  <si>
    <t>TAE 2021 
RAAV1</t>
  </si>
  <si>
    <t>TA 2021</t>
  </si>
  <si>
    <t>Muutos
TAE 2021/
OVK JJ 2020</t>
  </si>
  <si>
    <t>Muutos
TAE 2021/
OVK II 2020</t>
  </si>
  <si>
    <t>Muutos
TA 2021/
TP 2020</t>
  </si>
  <si>
    <t>Tulosyksikkö</t>
  </si>
  <si>
    <t>EUR</t>
  </si>
  <si>
    <t>%</t>
  </si>
  <si>
    <t>1000HYVINVOINT</t>
  </si>
  <si>
    <t>Hyvinvointitoimiala</t>
  </si>
  <si>
    <t>TA-TULOT</t>
  </si>
  <si>
    <t>TA-MENOT</t>
  </si>
  <si>
    <t>Netto</t>
  </si>
  <si>
    <t>1000STTERVE</t>
  </si>
  <si>
    <t>Terveyspalvelut</t>
  </si>
  <si>
    <t>1000STPERHE</t>
  </si>
  <si>
    <t>Perhe- ja sosiaalipalvelut</t>
  </si>
  <si>
    <t>1000STVANVAMPA</t>
  </si>
  <si>
    <t>Vanhus- ja vammaispalvelut</t>
  </si>
  <si>
    <t>1000STVSSHP</t>
  </si>
  <si>
    <t>Varsinais-Suomen sairaanhoitopiiri</t>
  </si>
  <si>
    <t>1000STSOTEVI</t>
  </si>
  <si>
    <t>Toimialan hallinto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</si>
</sst>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\ %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rgb="FFAEAEAE"/>
      </left>
      <right style="thick">
        <color rgb="FFAEAEAE"/>
      </right>
      <top style="thick">
        <color rgb="FFAEAEAE"/>
      </top>
      <bottom style="thick">
        <color rgb="FFAEAEAE"/>
      </bottom>
      <diagonal/>
    </border>
    <border>
      <left/>
      <right style="thick">
        <color rgb="FFAEAEAE"/>
      </right>
      <top style="thick">
        <color rgb="FFAEAEAE"/>
      </top>
      <bottom style="thick">
        <color rgb="FFAEAEAE"/>
      </bottom>
      <diagonal/>
    </border>
    <border>
      <left style="thick">
        <color rgb="FFAEAEAE"/>
      </left>
      <right style="thick">
        <color rgb="FFAEAEAE"/>
      </right>
      <top/>
      <bottom style="thick">
        <color rgb="FFAEAEAE"/>
      </bottom>
      <diagonal/>
    </border>
    <border>
      <left/>
      <right style="thick">
        <color rgb="FFAEAEAE"/>
      </right>
      <top/>
      <bottom style="thick">
        <color rgb="FFAEAEAE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9" fontId="2" fillId="0" borderId="2" xfId="2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9" fontId="2" fillId="0" borderId="4" xfId="2" applyFont="1" applyFill="1" applyBorder="1" applyAlignment="1">
      <alignment horizontal="right" vertical="center" wrapText="1"/>
    </xf>
    <xf numFmtId="164" fontId="2" fillId="0" borderId="4" xfId="1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vertical="center" wrapText="1"/>
    </xf>
    <xf numFmtId="9" fontId="2" fillId="0" borderId="4" xfId="2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2"/>
    </xf>
    <xf numFmtId="3" fontId="2" fillId="0" borderId="4" xfId="0" applyNumberFormat="1" applyFont="1" applyBorder="1" applyAlignment="1">
      <alignment horizontal="right" vertical="center" wrapText="1"/>
    </xf>
    <xf numFmtId="165" fontId="2" fillId="0" borderId="4" xfId="2" applyNumberFormat="1" applyFont="1" applyFill="1" applyBorder="1" applyAlignment="1">
      <alignment horizontal="right" vertical="center" wrapText="1"/>
    </xf>
    <xf numFmtId="164" fontId="2" fillId="0" borderId="4" xfId="1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1"/>
    </xf>
    <xf numFmtId="165" fontId="2" fillId="0" borderId="4" xfId="2" applyNumberFormat="1" applyFont="1" applyFill="1" applyBorder="1" applyAlignment="1">
      <alignment vertical="center" wrapText="1"/>
    </xf>
    <xf numFmtId="3" fontId="0" fillId="0" borderId="0" xfId="0" applyNumberFormat="1"/>
    <xf numFmtId="9" fontId="1" fillId="0" borderId="0" xfId="2" applyFont="1" applyFill="1"/>
  </cellXfs>
  <cellStyles count="3">
    <cellStyle name="Normaali" xfId="0" builtinId="0"/>
    <cellStyle name="Pilkku" xfId="1" builtinId="3"/>
    <cellStyle name="Prosentti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99D86-2684-4DFF-B3B3-A85D9F273EBE}">
  <sheetPr>
    <pageSetUpPr fitToPage="1"/>
  </sheetPr>
  <dimension ref="A1:AP28"/>
  <sheetViews>
    <sheetView tabSelected="1" zoomScaleNormal="100" workbookViewId="0">
      <pane xSplit="2" ySplit="2" topLeftCell="C3" activePane="bottomRight" state="frozen"/>
      <selection activeCell="B29" sqref="B29"/>
      <selection pane="topRight" activeCell="B29" sqref="B29"/>
      <selection pane="bottomLeft" activeCell="B29" sqref="B29"/>
      <selection pane="bottomRight" activeCell="U16" sqref="U16"/>
    </sheetView>
  </sheetViews>
  <sheetFormatPr defaultColWidth="37" defaultRowHeight="13.2" x14ac:dyDescent="0.25"/>
  <cols>
    <col min="1" max="1" width="16.88671875" bestFit="1" customWidth="1"/>
    <col min="2" max="2" width="25.33203125" bestFit="1" customWidth="1"/>
    <col min="3" max="3" width="14.6640625" customWidth="1"/>
    <col min="4" max="4" width="11.33203125" bestFit="1" customWidth="1"/>
    <col min="5" max="6" width="9.5546875" hidden="1" customWidth="1"/>
    <col min="7" max="7" width="10.109375" hidden="1" customWidth="1"/>
    <col min="8" max="9" width="11.109375" hidden="1" customWidth="1"/>
    <col min="10" max="10" width="14.88671875" hidden="1" customWidth="1"/>
    <col min="11" max="13" width="11.109375" hidden="1" customWidth="1"/>
    <col min="14" max="14" width="14.44140625" hidden="1" customWidth="1"/>
    <col min="15" max="16" width="11.109375" hidden="1" customWidth="1"/>
    <col min="17" max="17" width="13.109375" customWidth="1"/>
    <col min="18" max="18" width="11.5546875" hidden="1" customWidth="1"/>
    <col min="19" max="19" width="10.5546875" hidden="1" customWidth="1"/>
    <col min="20" max="20" width="12.44140625" hidden="1" customWidth="1"/>
    <col min="21" max="21" width="11.109375" customWidth="1"/>
    <col min="22" max="22" width="11.88671875" hidden="1" customWidth="1"/>
    <col min="23" max="23" width="11.5546875" hidden="1" customWidth="1"/>
    <col min="24" max="24" width="9.44140625" style="19" hidden="1" customWidth="1"/>
    <col min="25" max="25" width="10.5546875" hidden="1" customWidth="1"/>
    <col min="26" max="26" width="11.88671875" hidden="1" customWidth="1"/>
    <col min="27" max="27" width="11.5546875" customWidth="1"/>
    <col min="28" max="28" width="10.44140625" customWidth="1"/>
    <col min="29" max="29" width="10.5546875" hidden="1" customWidth="1"/>
    <col min="30" max="30" width="11.5546875" hidden="1" customWidth="1"/>
    <col min="31" max="31" width="11.109375" hidden="1" customWidth="1"/>
    <col min="32" max="33" width="11" hidden="1" customWidth="1"/>
    <col min="34" max="34" width="14.44140625" customWidth="1"/>
    <col min="35" max="35" width="10.5546875" customWidth="1"/>
    <col min="36" max="36" width="13.109375" hidden="1" customWidth="1"/>
    <col min="37" max="37" width="13.109375" customWidth="1"/>
    <col min="38" max="38" width="10.109375" hidden="1" customWidth="1"/>
    <col min="39" max="39" width="15.33203125" hidden="1" customWidth="1"/>
    <col min="40" max="40" width="10.5546875" customWidth="1"/>
  </cols>
  <sheetData>
    <row r="1" spans="1:42" ht="53.25" customHeight="1" thickTop="1" thickBot="1" x14ac:dyDescent="0.3">
      <c r="A1" s="1"/>
      <c r="B1" s="2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3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4" t="s">
        <v>21</v>
      </c>
      <c r="Y1" s="2" t="s">
        <v>22</v>
      </c>
      <c r="Z1" s="4" t="s">
        <v>22</v>
      </c>
      <c r="AA1" s="2" t="s">
        <v>23</v>
      </c>
      <c r="AB1" s="4" t="s">
        <v>24</v>
      </c>
      <c r="AC1" s="2" t="s">
        <v>25</v>
      </c>
      <c r="AD1" s="2" t="s">
        <v>26</v>
      </c>
      <c r="AE1" s="2" t="s">
        <v>27</v>
      </c>
      <c r="AF1" s="4" t="s">
        <v>28</v>
      </c>
      <c r="AG1" s="2" t="s">
        <v>29</v>
      </c>
      <c r="AH1" s="2" t="s">
        <v>30</v>
      </c>
      <c r="AI1" s="4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</row>
    <row r="2" spans="1:42" ht="14.4" thickTop="1" thickBot="1" x14ac:dyDescent="0.3">
      <c r="A2" s="5" t="s">
        <v>37</v>
      </c>
      <c r="B2" s="6"/>
      <c r="C2" s="7" t="s">
        <v>38</v>
      </c>
      <c r="D2" s="7" t="s">
        <v>38</v>
      </c>
      <c r="E2" s="7" t="s">
        <v>38</v>
      </c>
      <c r="F2" s="7" t="s">
        <v>38</v>
      </c>
      <c r="G2" s="7"/>
      <c r="H2" s="7"/>
      <c r="I2" s="7"/>
      <c r="J2" s="7"/>
      <c r="K2" s="7"/>
      <c r="L2" s="7"/>
      <c r="M2" s="7"/>
      <c r="N2" s="7"/>
      <c r="O2" s="7"/>
      <c r="P2" s="7"/>
      <c r="Q2" s="7" t="s">
        <v>38</v>
      </c>
      <c r="R2" s="7" t="s">
        <v>38</v>
      </c>
      <c r="S2" s="7" t="s">
        <v>38</v>
      </c>
      <c r="T2" s="7" t="s">
        <v>38</v>
      </c>
      <c r="U2" s="7" t="s">
        <v>38</v>
      </c>
      <c r="V2" s="7" t="s">
        <v>38</v>
      </c>
      <c r="W2" s="7" t="s">
        <v>38</v>
      </c>
      <c r="X2" s="8" t="s">
        <v>39</v>
      </c>
      <c r="Y2" s="7" t="s">
        <v>38</v>
      </c>
      <c r="Z2" s="8" t="s">
        <v>39</v>
      </c>
      <c r="AA2" s="7" t="s">
        <v>38</v>
      </c>
      <c r="AB2" s="8" t="s">
        <v>39</v>
      </c>
      <c r="AC2" s="7" t="s">
        <v>38</v>
      </c>
      <c r="AD2" s="7" t="s">
        <v>38</v>
      </c>
      <c r="AE2" s="7" t="s">
        <v>38</v>
      </c>
      <c r="AF2" s="8" t="s">
        <v>39</v>
      </c>
      <c r="AG2" s="8" t="s">
        <v>39</v>
      </c>
      <c r="AH2" s="9" t="s">
        <v>38</v>
      </c>
      <c r="AI2" s="8" t="s">
        <v>39</v>
      </c>
      <c r="AJ2" s="7" t="s">
        <v>38</v>
      </c>
      <c r="AK2" s="7" t="s">
        <v>38</v>
      </c>
      <c r="AL2" s="8" t="s">
        <v>39</v>
      </c>
      <c r="AM2" s="9" t="s">
        <v>38</v>
      </c>
      <c r="AN2" s="8" t="s">
        <v>39</v>
      </c>
    </row>
    <row r="3" spans="1:42" ht="14.4" thickTop="1" thickBot="1" x14ac:dyDescent="0.3">
      <c r="A3" s="5" t="s">
        <v>40</v>
      </c>
      <c r="B3" s="6" t="s">
        <v>41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0"/>
      <c r="T3" s="6"/>
      <c r="U3" s="6"/>
      <c r="V3" s="6"/>
      <c r="W3" s="6"/>
      <c r="X3" s="11"/>
      <c r="Y3" s="6"/>
      <c r="Z3" s="11"/>
      <c r="AA3" s="6"/>
      <c r="AB3" s="11"/>
      <c r="AC3" s="6"/>
      <c r="AD3" s="6"/>
      <c r="AE3" s="6"/>
      <c r="AF3" s="11"/>
      <c r="AG3" s="11"/>
      <c r="AH3" s="9"/>
      <c r="AI3" s="11"/>
      <c r="AJ3" s="6"/>
      <c r="AK3" s="6"/>
      <c r="AL3" s="11"/>
      <c r="AM3" s="9"/>
      <c r="AN3" s="11"/>
    </row>
    <row r="4" spans="1:42" ht="14.4" thickTop="1" thickBot="1" x14ac:dyDescent="0.3">
      <c r="A4" s="12" t="s">
        <v>42</v>
      </c>
      <c r="B4" s="6"/>
      <c r="C4" s="13">
        <f t="shared" ref="C4:I5" si="0">C8+C12+C16+C20+C24</f>
        <v>-69969395</v>
      </c>
      <c r="D4" s="13">
        <f t="shared" si="0"/>
        <v>-69221107</v>
      </c>
      <c r="E4" s="13">
        <f t="shared" si="0"/>
        <v>0.24</v>
      </c>
      <c r="F4" s="13">
        <f t="shared" si="0"/>
        <v>-1</v>
      </c>
      <c r="G4" s="13">
        <f t="shared" si="0"/>
        <v>0</v>
      </c>
      <c r="H4" s="13">
        <f t="shared" si="0"/>
        <v>1339562</v>
      </c>
      <c r="I4" s="13">
        <f t="shared" si="0"/>
        <v>0</v>
      </c>
      <c r="J4" s="13"/>
      <c r="K4" s="13">
        <f t="shared" ref="K4:W6" si="1">K8+K12+K16+K20+K24</f>
        <v>0</v>
      </c>
      <c r="L4" s="13">
        <f t="shared" si="1"/>
        <v>0</v>
      </c>
      <c r="M4" s="13">
        <f t="shared" si="1"/>
        <v>0</v>
      </c>
      <c r="N4" s="13">
        <f t="shared" si="1"/>
        <v>0</v>
      </c>
      <c r="O4" s="13">
        <f t="shared" si="1"/>
        <v>0</v>
      </c>
      <c r="P4" s="13"/>
      <c r="Q4" s="13">
        <f>Q8+Q12+Q16+Q20+Q24</f>
        <v>-68821545.75999999</v>
      </c>
      <c r="R4" s="13">
        <f t="shared" si="1"/>
        <v>-65141989.265670002</v>
      </c>
      <c r="S4" s="13">
        <f t="shared" si="1"/>
        <v>-67881546.864999995</v>
      </c>
      <c r="T4" s="13">
        <f t="shared" si="1"/>
        <v>-2739557.599329995</v>
      </c>
      <c r="U4" s="13">
        <f t="shared" si="1"/>
        <v>-69564448.760000005</v>
      </c>
      <c r="V4" s="13">
        <f t="shared" si="1"/>
        <v>-1682901.8950000042</v>
      </c>
      <c r="W4" s="13">
        <f t="shared" si="1"/>
        <v>3679556.4943299964</v>
      </c>
      <c r="X4" s="8">
        <f>(R4/Q4)-1</f>
        <v>-5.3465182359629493E-2</v>
      </c>
      <c r="Y4" s="13">
        <f>Y8+Y12+Y16+Y20+Y24</f>
        <v>939998.89500000142</v>
      </c>
      <c r="Z4" s="8">
        <f>S4/Q4</f>
        <v>0.98634150272825849</v>
      </c>
      <c r="AA4" s="13">
        <f>AA8+AA12+AA16+AA20+AA24</f>
        <v>-742903.00000000279</v>
      </c>
      <c r="AB4" s="8">
        <f>U4/Q4</f>
        <v>1.0107946282199287</v>
      </c>
      <c r="AC4" s="13">
        <f t="shared" ref="AC4:AE6" si="2">AC8+AC12+AC16+AC20+AC24</f>
        <v>4827405.7343299966</v>
      </c>
      <c r="AD4" s="13">
        <f t="shared" si="2"/>
        <v>2087848.1350000016</v>
      </c>
      <c r="AE4" s="13">
        <f t="shared" si="2"/>
        <v>404946.23999999755</v>
      </c>
      <c r="AF4" s="8">
        <f>(R4/C4)-1</f>
        <v>-6.8993103832468483E-2</v>
      </c>
      <c r="AG4" s="14">
        <f>(+S4/C4)-1</f>
        <v>-2.9839448161585569E-2</v>
      </c>
      <c r="AH4" s="9">
        <f>AH8+AH12+AH16+AH20+AH24</f>
        <v>404946.23999999755</v>
      </c>
      <c r="AI4" s="8">
        <f>(+U4/C4)-1</f>
        <v>-5.7874766531852417E-3</v>
      </c>
      <c r="AJ4" s="13">
        <f t="shared" ref="AH4:AK6" si="3">AJ8+AJ12+AJ16+AJ20+AJ24</f>
        <v>-75549107.120008007</v>
      </c>
      <c r="AK4" s="13">
        <f t="shared" si="3"/>
        <v>-75549107.120008007</v>
      </c>
      <c r="AL4" s="14">
        <f>AK4/S4</f>
        <v>1.1129550018984826</v>
      </c>
      <c r="AM4" s="9">
        <f>AK4-S4</f>
        <v>-7667560.2550080121</v>
      </c>
      <c r="AN4" s="14">
        <f>AK4/U4</f>
        <v>1.0860304144816169</v>
      </c>
    </row>
    <row r="5" spans="1:42" ht="14.4" thickTop="1" thickBot="1" x14ac:dyDescent="0.3">
      <c r="A5" s="12" t="s">
        <v>43</v>
      </c>
      <c r="B5" s="6"/>
      <c r="C5" s="13">
        <f t="shared" si="0"/>
        <v>714301548</v>
      </c>
      <c r="D5" s="13">
        <f t="shared" si="0"/>
        <v>710783809</v>
      </c>
      <c r="E5" s="13">
        <f t="shared" si="0"/>
        <v>0</v>
      </c>
      <c r="F5" s="13">
        <f t="shared" si="0"/>
        <v>-1602046</v>
      </c>
      <c r="G5" s="13">
        <f t="shared" si="0"/>
        <v>6455.02</v>
      </c>
      <c r="H5" s="13">
        <f t="shared" si="0"/>
        <v>32711690</v>
      </c>
      <c r="I5" s="13">
        <f t="shared" si="0"/>
        <v>1525969.937209076</v>
      </c>
      <c r="J5" s="13"/>
      <c r="K5" s="13">
        <f t="shared" si="1"/>
        <v>6.2790923984721303E-2</v>
      </c>
      <c r="L5" s="13">
        <f t="shared" si="1"/>
        <v>0</v>
      </c>
      <c r="M5" s="13">
        <f t="shared" si="1"/>
        <v>0</v>
      </c>
      <c r="N5" s="13">
        <f t="shared" si="1"/>
        <v>6.2790922820568085E-2</v>
      </c>
      <c r="O5" s="13">
        <f t="shared" si="1"/>
        <v>0</v>
      </c>
      <c r="P5" s="13"/>
      <c r="Q5" s="13">
        <f>Q9+Q13+Q17+Q21+Q25</f>
        <v>748955906.01999998</v>
      </c>
      <c r="R5" s="13">
        <f t="shared" si="1"/>
        <v>734988109.85740554</v>
      </c>
      <c r="S5" s="13">
        <f t="shared" si="1"/>
        <v>743495500.48393428</v>
      </c>
      <c r="T5" s="13">
        <f t="shared" si="1"/>
        <v>8507390.6265287101</v>
      </c>
      <c r="U5" s="13">
        <f t="shared" si="1"/>
        <v>743485481.83000004</v>
      </c>
      <c r="V5" s="13">
        <f t="shared" si="1"/>
        <v>-10018.653934247792</v>
      </c>
      <c r="W5" s="13">
        <f t="shared" si="1"/>
        <v>-13967796.162594453</v>
      </c>
      <c r="X5" s="8">
        <f>(R5/Q5)-1</f>
        <v>-1.8649690923488671E-2</v>
      </c>
      <c r="Y5" s="13">
        <f>Y9+Y13+Y17+Y21+Y25</f>
        <v>-5460405.5360657424</v>
      </c>
      <c r="Z5" s="8">
        <f>S5/Q5</f>
        <v>0.99270930973081895</v>
      </c>
      <c r="AA5" s="13">
        <f>AA9+AA13+AA17+AA21+AA25</f>
        <v>-5470424.1899999902</v>
      </c>
      <c r="AB5" s="8">
        <f>U5/Q5</f>
        <v>0.99269593290335323</v>
      </c>
      <c r="AC5" s="13">
        <f t="shared" si="2"/>
        <v>20686561.857405558</v>
      </c>
      <c r="AD5" s="13">
        <f t="shared" si="2"/>
        <v>29193952.483934268</v>
      </c>
      <c r="AE5" s="13">
        <f t="shared" si="2"/>
        <v>29183933.830000021</v>
      </c>
      <c r="AF5" s="8">
        <f>(R5/C5)-1</f>
        <v>2.8960544626182916E-2</v>
      </c>
      <c r="AG5" s="14">
        <f>(+S5/C5)-1</f>
        <v>4.0870627490134259E-2</v>
      </c>
      <c r="AH5" s="15">
        <f>AH9+AH13+AH17+AH21+AH25</f>
        <v>29183933.830000021</v>
      </c>
      <c r="AI5" s="8">
        <f>(+U5/C5)-1</f>
        <v>4.0856601685539173E-2</v>
      </c>
      <c r="AJ5" s="13">
        <f t="shared" si="3"/>
        <v>741382207.99934244</v>
      </c>
      <c r="AK5" s="13">
        <f t="shared" si="3"/>
        <v>742482209.99934268</v>
      </c>
      <c r="AL5" s="14">
        <f>AK5/S5</f>
        <v>0.99863712627187107</v>
      </c>
      <c r="AM5" s="15">
        <f>AK5-S5</f>
        <v>-1013290.4845916033</v>
      </c>
      <c r="AN5" s="14">
        <f t="shared" ref="AN5:AN25" si="4">AK5/U5</f>
        <v>0.99865058315841226</v>
      </c>
      <c r="AO5" s="18">
        <f>D5-U5</f>
        <v>-32701672.830000043</v>
      </c>
    </row>
    <row r="6" spans="1:42" ht="14.4" thickTop="1" thickBot="1" x14ac:dyDescent="0.3">
      <c r="A6" s="12" t="s">
        <v>44</v>
      </c>
      <c r="B6" s="6"/>
      <c r="C6" s="13">
        <f>C10+C14+C18+C22+C26</f>
        <v>644332153</v>
      </c>
      <c r="D6" s="13">
        <f>D10+D14+D18+D22+D26</f>
        <v>641562702</v>
      </c>
      <c r="E6" s="13">
        <f>E10+E14+E18+E22+E26</f>
        <v>0</v>
      </c>
      <c r="F6" s="13">
        <f>F10+F14+F18+F22+F26</f>
        <v>-1602047</v>
      </c>
      <c r="G6" s="13">
        <f>G5+G4</f>
        <v>6455.02</v>
      </c>
      <c r="H6" s="13">
        <f>H5+H4</f>
        <v>34051252</v>
      </c>
      <c r="I6" s="13">
        <f>I5+I4</f>
        <v>1525969.937209076</v>
      </c>
      <c r="J6" s="13"/>
      <c r="K6" s="13">
        <f t="shared" ref="K6:Q6" si="5">K5+K4</f>
        <v>6.2790923984721303E-2</v>
      </c>
      <c r="L6" s="13">
        <f t="shared" si="5"/>
        <v>0</v>
      </c>
      <c r="M6" s="13">
        <f t="shared" si="5"/>
        <v>0</v>
      </c>
      <c r="N6" s="13">
        <f t="shared" si="5"/>
        <v>6.2790922820568085E-2</v>
      </c>
      <c r="O6" s="13">
        <f t="shared" si="5"/>
        <v>0</v>
      </c>
      <c r="P6" s="13"/>
      <c r="Q6" s="13">
        <f t="shared" si="5"/>
        <v>680134360.25999999</v>
      </c>
      <c r="R6" s="13">
        <f t="shared" si="1"/>
        <v>669846120.5917356</v>
      </c>
      <c r="S6" s="13">
        <f t="shared" si="1"/>
        <v>675613953.61893427</v>
      </c>
      <c r="T6" s="13">
        <f t="shared" si="1"/>
        <v>5767833.027198717</v>
      </c>
      <c r="U6" s="13">
        <f t="shared" si="1"/>
        <v>673921033.07000005</v>
      </c>
      <c r="V6" s="13">
        <f t="shared" si="1"/>
        <v>-1692920.5489342548</v>
      </c>
      <c r="W6" s="13">
        <f t="shared" si="1"/>
        <v>-10288239.668264456</v>
      </c>
      <c r="X6" s="8">
        <f>(R6/Q6)-1</f>
        <v>-1.5126775339407095E-2</v>
      </c>
      <c r="Y6" s="13">
        <f>Y10+Y14+Y18+Y22+Y26</f>
        <v>-4520406.641065741</v>
      </c>
      <c r="Z6" s="8">
        <f>S6/Q6</f>
        <v>0.99335365641674434</v>
      </c>
      <c r="AA6" s="13">
        <f>AA10+AA14+AA18+AA22+AA26</f>
        <v>-6213327.1899999864</v>
      </c>
      <c r="AB6" s="8">
        <f>U6/Q6</f>
        <v>0.99086455919147398</v>
      </c>
      <c r="AC6" s="13">
        <f t="shared" si="2"/>
        <v>25513967.591735557</v>
      </c>
      <c r="AD6" s="13">
        <f t="shared" si="2"/>
        <v>31281800.61893427</v>
      </c>
      <c r="AE6" s="13">
        <f t="shared" si="2"/>
        <v>29588880.070000023</v>
      </c>
      <c r="AF6" s="8">
        <f>(R6/C6)-1</f>
        <v>3.9597539053332964E-2</v>
      </c>
      <c r="AG6" s="14">
        <f>(+S6/C6)-1</f>
        <v>4.8549184567752368E-2</v>
      </c>
      <c r="AH6" s="13">
        <f t="shared" si="3"/>
        <v>29588880.070000019</v>
      </c>
      <c r="AI6" s="8">
        <f>(+U6/C6)-1</f>
        <v>4.5921781075544121E-2</v>
      </c>
      <c r="AJ6" s="13">
        <f t="shared" si="3"/>
        <v>665833100.87933445</v>
      </c>
      <c r="AK6" s="13">
        <f t="shared" si="3"/>
        <v>666933102.87933457</v>
      </c>
      <c r="AL6" s="14">
        <f>AK6/S6</f>
        <v>0.98715116718193785</v>
      </c>
      <c r="AM6" s="9">
        <f>AK6-S6</f>
        <v>-8680850.7395997047</v>
      </c>
      <c r="AN6" s="14">
        <f t="shared" si="4"/>
        <v>0.98963093619614084</v>
      </c>
      <c r="AO6" s="18">
        <f>D6-U6</f>
        <v>-32358331.070000052</v>
      </c>
      <c r="AP6">
        <f>AO6/D6*100</f>
        <v>-5.0436739805987116</v>
      </c>
    </row>
    <row r="7" spans="1:42" ht="14.4" thickTop="1" thickBot="1" x14ac:dyDescent="0.3">
      <c r="A7" s="16" t="s">
        <v>45</v>
      </c>
      <c r="B7" s="6" t="s">
        <v>46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>
        <f>D7+E7</f>
        <v>0</v>
      </c>
      <c r="R7" s="6"/>
      <c r="S7" s="6"/>
      <c r="T7" s="6">
        <f t="shared" ref="T7:T26" si="6">S7-R7</f>
        <v>0</v>
      </c>
      <c r="U7" s="10"/>
      <c r="V7" s="6">
        <f t="shared" ref="V7:V26" si="7">U7-S7</f>
        <v>0</v>
      </c>
      <c r="W7" s="6"/>
      <c r="X7" s="11"/>
      <c r="Y7" s="6"/>
      <c r="Z7" s="11"/>
      <c r="AA7" s="6"/>
      <c r="AB7" s="11"/>
      <c r="AC7" s="6"/>
      <c r="AD7" s="6"/>
      <c r="AE7" s="6"/>
      <c r="AF7" s="11"/>
      <c r="AG7" s="17"/>
      <c r="AH7" s="9">
        <f>AK7-C7</f>
        <v>0</v>
      </c>
      <c r="AI7" s="11"/>
      <c r="AJ7" s="6"/>
      <c r="AK7" s="6"/>
      <c r="AL7" s="17"/>
      <c r="AM7" s="9"/>
      <c r="AN7" s="14"/>
    </row>
    <row r="8" spans="1:42" ht="14.4" thickTop="1" thickBot="1" x14ac:dyDescent="0.3">
      <c r="A8" s="12" t="s">
        <v>42</v>
      </c>
      <c r="B8" s="6"/>
      <c r="C8" s="13">
        <v>-20150511</v>
      </c>
      <c r="D8" s="13">
        <v>-20272632</v>
      </c>
      <c r="E8" s="13"/>
      <c r="F8" s="13">
        <v>0</v>
      </c>
      <c r="G8" s="13"/>
      <c r="H8" s="13"/>
      <c r="I8" s="13"/>
      <c r="J8" s="13">
        <v>1339562</v>
      </c>
      <c r="K8" s="13"/>
      <c r="L8" s="13"/>
      <c r="M8" s="13"/>
      <c r="N8" s="13">
        <f>SUM(J8:M8)</f>
        <v>1339562</v>
      </c>
      <c r="O8" s="13">
        <v>1339562</v>
      </c>
      <c r="P8" s="13"/>
      <c r="Q8" s="13">
        <f>SUM(D8:M8)+P8</f>
        <v>-18933070</v>
      </c>
      <c r="R8" s="13">
        <v>-15869309.265670003</v>
      </c>
      <c r="S8" s="13">
        <v>-18305897.864999998</v>
      </c>
      <c r="T8" s="13">
        <f t="shared" si="6"/>
        <v>-2436588.599329995</v>
      </c>
      <c r="U8" s="13">
        <v>-17883646.34</v>
      </c>
      <c r="V8" s="13">
        <f t="shared" si="7"/>
        <v>422251.52499999851</v>
      </c>
      <c r="W8" s="13">
        <f>R8-Q8</f>
        <v>3063760.7343299966</v>
      </c>
      <c r="X8" s="8">
        <f>(R8/Q8)-1</f>
        <v>-0.16182059931801851</v>
      </c>
      <c r="Y8" s="13">
        <f>S8-Q8</f>
        <v>627172.13500000164</v>
      </c>
      <c r="Z8" s="8">
        <f>S8/Q8</f>
        <v>0.96687425045172271</v>
      </c>
      <c r="AA8" s="13">
        <f>U8-Q8</f>
        <v>1049423.6600000001</v>
      </c>
      <c r="AB8" s="8">
        <f>U8/Q8</f>
        <v>0.94457192309540927</v>
      </c>
      <c r="AC8" s="13">
        <f>R8-C8</f>
        <v>4281201.7343299966</v>
      </c>
      <c r="AD8" s="13">
        <f>S8-C8</f>
        <v>1844613.1350000016</v>
      </c>
      <c r="AE8" s="13">
        <f>+U8-C8</f>
        <v>2266864.66</v>
      </c>
      <c r="AF8" s="8">
        <f>(R8/C8)-1</f>
        <v>-0.21246119933782304</v>
      </c>
      <c r="AG8" s="14">
        <f>(+S8/C8)-1</f>
        <v>-9.154175469793302E-2</v>
      </c>
      <c r="AH8" s="9">
        <f>U8-C8</f>
        <v>2266864.66</v>
      </c>
      <c r="AI8" s="8">
        <f>(+U8/C8)-1</f>
        <v>-0.11249663395632992</v>
      </c>
      <c r="AJ8" s="13">
        <f>-19937310.0000024+200000</f>
        <v>-19737310.000002399</v>
      </c>
      <c r="AK8" s="13">
        <f>-19937310.0000024+200000</f>
        <v>-19737310.000002399</v>
      </c>
      <c r="AL8" s="14">
        <f>AK8/S8</f>
        <v>1.0781940413717259</v>
      </c>
      <c r="AM8" s="9">
        <f>AK8-S8</f>
        <v>-1431412.1350024007</v>
      </c>
      <c r="AN8" s="14">
        <f t="shared" si="4"/>
        <v>1.1036513261759346</v>
      </c>
    </row>
    <row r="9" spans="1:42" ht="14.4" thickTop="1" thickBot="1" x14ac:dyDescent="0.3">
      <c r="A9" s="12" t="s">
        <v>43</v>
      </c>
      <c r="B9" s="6"/>
      <c r="C9" s="13">
        <v>121319645</v>
      </c>
      <c r="D9" s="13">
        <v>120813826</v>
      </c>
      <c r="E9" s="13"/>
      <c r="F9" s="13">
        <v>0</v>
      </c>
      <c r="G9" s="13"/>
      <c r="H9" s="13"/>
      <c r="I9" s="13"/>
      <c r="J9" s="13"/>
      <c r="K9" s="13">
        <v>550000</v>
      </c>
      <c r="L9" s="13">
        <v>6250000</v>
      </c>
      <c r="M9" s="13">
        <v>200000</v>
      </c>
      <c r="N9" s="13">
        <f>SUM(J9:M9)</f>
        <v>7000000</v>
      </c>
      <c r="O9" s="13">
        <v>7000000</v>
      </c>
      <c r="P9" s="13"/>
      <c r="Q9" s="13">
        <f>SUM(D9:M9)+P9+1180850</f>
        <v>128994676</v>
      </c>
      <c r="R9" s="13">
        <v>125175780.85740556</v>
      </c>
      <c r="S9" s="13">
        <v>127912564.48393427</v>
      </c>
      <c r="T9" s="13">
        <f t="shared" si="6"/>
        <v>2736783.6265287101</v>
      </c>
      <c r="U9" s="13">
        <v>126338165.13</v>
      </c>
      <c r="V9" s="13">
        <f t="shared" si="7"/>
        <v>-1574399.3539342731</v>
      </c>
      <c r="W9" s="13">
        <f>R9-Q9</f>
        <v>-3818895.1425944418</v>
      </c>
      <c r="X9" s="8">
        <f>(R9/Q9)-1</f>
        <v>-2.960506015453257E-2</v>
      </c>
      <c r="Y9" s="13">
        <f>S9-Q9</f>
        <v>-1082111.5160657316</v>
      </c>
      <c r="Z9" s="8">
        <f>S9/Q9</f>
        <v>0.99161119241800544</v>
      </c>
      <c r="AA9" s="13">
        <f>U9-Q9</f>
        <v>-2656510.8700000048</v>
      </c>
      <c r="AB9" s="8">
        <f>U9/Q9</f>
        <v>0.9794060425408565</v>
      </c>
      <c r="AC9" s="13">
        <f>R9-C9</f>
        <v>3856135.8574055582</v>
      </c>
      <c r="AD9" s="13">
        <f>S9-C9</f>
        <v>6592919.4839342684</v>
      </c>
      <c r="AE9" s="13">
        <f>+U9-C9</f>
        <v>5018520.1299999952</v>
      </c>
      <c r="AF9" s="8">
        <f>(R9/C9)-1</f>
        <v>3.1784925330152092E-2</v>
      </c>
      <c r="AG9" s="14">
        <f>(+S9/C9)-1</f>
        <v>5.4343379293058991E-2</v>
      </c>
      <c r="AH9" s="9">
        <f>U9-C9</f>
        <v>5018520.1299999952</v>
      </c>
      <c r="AI9" s="8">
        <f>(+U9/C9)-1</f>
        <v>4.1366096397660757E-2</v>
      </c>
      <c r="AJ9" s="13">
        <v>126350297.87655</v>
      </c>
      <c r="AK9" s="13">
        <v>126350298.87655</v>
      </c>
      <c r="AL9" s="14">
        <f>AK9/S9</f>
        <v>0.98778645699359358</v>
      </c>
      <c r="AM9" s="9">
        <f>AK9-S9</f>
        <v>-1562265.6073842645</v>
      </c>
      <c r="AN9" s="14">
        <f t="shared" si="4"/>
        <v>1.0000960418139484</v>
      </c>
    </row>
    <row r="10" spans="1:42" ht="14.4" thickTop="1" thickBot="1" x14ac:dyDescent="0.3">
      <c r="A10" s="12" t="s">
        <v>44</v>
      </c>
      <c r="B10" s="6"/>
      <c r="C10" s="13">
        <f>C9+C8</f>
        <v>101169134</v>
      </c>
      <c r="D10" s="13">
        <f>D9+D8</f>
        <v>100541194</v>
      </c>
      <c r="E10" s="13">
        <f>E9+E8</f>
        <v>0</v>
      </c>
      <c r="F10" s="13">
        <f>F9+F8</f>
        <v>0</v>
      </c>
      <c r="G10" s="13"/>
      <c r="H10" s="13"/>
      <c r="I10" s="13"/>
      <c r="J10" s="13"/>
      <c r="K10" s="13"/>
      <c r="L10" s="13"/>
      <c r="M10" s="13"/>
      <c r="N10" s="13">
        <f>SUM(K10:M10)</f>
        <v>0</v>
      </c>
      <c r="O10" s="13"/>
      <c r="P10" s="13"/>
      <c r="Q10" s="13">
        <f>Q9+Q8</f>
        <v>110061606</v>
      </c>
      <c r="R10" s="13">
        <f>R9+R8</f>
        <v>109306471.59173556</v>
      </c>
      <c r="S10" s="13">
        <f>S9+S8</f>
        <v>109606666.61893427</v>
      </c>
      <c r="T10" s="13">
        <f t="shared" si="6"/>
        <v>300195.027198717</v>
      </c>
      <c r="U10" s="13">
        <f>U9+U8</f>
        <v>108454518.78999999</v>
      </c>
      <c r="V10" s="13">
        <f t="shared" si="7"/>
        <v>-1152147.8289342821</v>
      </c>
      <c r="W10" s="13">
        <f>W9+W8</f>
        <v>-755134.40826444514</v>
      </c>
      <c r="X10" s="8">
        <f>(R10/Q10)-1</f>
        <v>-6.8610157139125105E-3</v>
      </c>
      <c r="Y10" s="13">
        <f>Y9+Y8</f>
        <v>-454939.38106573001</v>
      </c>
      <c r="Z10" s="8">
        <f>S10/Q10</f>
        <v>0.99586650242896035</v>
      </c>
      <c r="AA10" s="13">
        <f>U10-Q10</f>
        <v>-1607087.2100000083</v>
      </c>
      <c r="AB10" s="8">
        <f>U10/Q10</f>
        <v>0.98539829402453016</v>
      </c>
      <c r="AC10" s="13">
        <f>AC9+AC8</f>
        <v>8137337.5917355549</v>
      </c>
      <c r="AD10" s="13">
        <f>AD9+AD8</f>
        <v>8437532.61893427</v>
      </c>
      <c r="AE10" s="13">
        <f>AE9+AE8</f>
        <v>7285384.7899999954</v>
      </c>
      <c r="AF10" s="8">
        <f>(R10/C10)-1</f>
        <v>8.0433006293555431E-2</v>
      </c>
      <c r="AG10" s="14">
        <f>(+S10/C10)-1</f>
        <v>8.3400265331264656E-2</v>
      </c>
      <c r="AH10" s="13">
        <f>AH9+AH8</f>
        <v>7285384.7899999954</v>
      </c>
      <c r="AI10" s="8">
        <f>(+U10/C10)-1</f>
        <v>7.2011931919867989E-2</v>
      </c>
      <c r="AJ10" s="13">
        <f>AJ9+AJ8</f>
        <v>106612987.8765476</v>
      </c>
      <c r="AK10" s="13">
        <f>AK9+AK8</f>
        <v>106612988.8765476</v>
      </c>
      <c r="AL10" s="14">
        <f>AK10/S10</f>
        <v>0.97268708341624255</v>
      </c>
      <c r="AM10" s="9">
        <f>AK10-S10</f>
        <v>-2993677.7423866689</v>
      </c>
      <c r="AN10" s="14">
        <f t="shared" si="4"/>
        <v>0.98302025647250224</v>
      </c>
    </row>
    <row r="11" spans="1:42" ht="14.4" thickTop="1" thickBot="1" x14ac:dyDescent="0.3">
      <c r="A11" s="16" t="s">
        <v>47</v>
      </c>
      <c r="B11" s="6" t="s">
        <v>48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3">
        <f>SUM(K11:M11)</f>
        <v>0</v>
      </c>
      <c r="O11" s="6"/>
      <c r="P11" s="6"/>
      <c r="Q11" s="13">
        <f>SUM(D11:H11)</f>
        <v>0</v>
      </c>
      <c r="R11" s="6"/>
      <c r="S11" s="6"/>
      <c r="T11" s="6">
        <f t="shared" si="6"/>
        <v>0</v>
      </c>
      <c r="U11" s="6"/>
      <c r="V11" s="6">
        <f t="shared" si="7"/>
        <v>0</v>
      </c>
      <c r="W11" s="6"/>
      <c r="X11" s="11"/>
      <c r="Y11" s="6"/>
      <c r="Z11" s="11"/>
      <c r="AA11" s="6"/>
      <c r="AB11" s="11"/>
      <c r="AC11" s="6"/>
      <c r="AD11" s="6"/>
      <c r="AE11" s="6"/>
      <c r="AF11" s="11"/>
      <c r="AG11" s="17"/>
      <c r="AH11" s="9">
        <f>AK11-C11</f>
        <v>0</v>
      </c>
      <c r="AI11" s="11"/>
      <c r="AJ11" s="13"/>
      <c r="AK11" s="13"/>
      <c r="AL11" s="17"/>
      <c r="AM11" s="9"/>
      <c r="AN11" s="14"/>
    </row>
    <row r="12" spans="1:42" ht="14.4" thickTop="1" thickBot="1" x14ac:dyDescent="0.3">
      <c r="A12" s="12" t="s">
        <v>42</v>
      </c>
      <c r="B12" s="6"/>
      <c r="C12" s="13">
        <v>-10677143</v>
      </c>
      <c r="D12" s="13">
        <v>-10946409</v>
      </c>
      <c r="E12" s="13">
        <v>0.24</v>
      </c>
      <c r="F12" s="13">
        <v>0</v>
      </c>
      <c r="G12" s="13"/>
      <c r="H12" s="13"/>
      <c r="I12" s="13"/>
      <c r="J12" s="13"/>
      <c r="K12" s="13"/>
      <c r="L12" s="13"/>
      <c r="M12" s="13"/>
      <c r="N12" s="13">
        <f>SUM(J12:M12)</f>
        <v>0</v>
      </c>
      <c r="O12" s="13"/>
      <c r="P12" s="13"/>
      <c r="Q12" s="13">
        <f>SUM(D12:M12)+P12</f>
        <v>-10946408.76</v>
      </c>
      <c r="R12" s="13">
        <v>-10630232</v>
      </c>
      <c r="S12" s="13">
        <v>-10922400</v>
      </c>
      <c r="T12" s="13">
        <f t="shared" si="6"/>
        <v>-292168</v>
      </c>
      <c r="U12" s="13">
        <v>-10807191.77</v>
      </c>
      <c r="V12" s="13">
        <f t="shared" si="7"/>
        <v>115208.23000000045</v>
      </c>
      <c r="W12" s="13">
        <f>R12-Q12</f>
        <v>316176.75999999978</v>
      </c>
      <c r="X12" s="8">
        <f>(R12/Q12)-1</f>
        <v>-2.8884062977381442E-2</v>
      </c>
      <c r="Y12" s="13">
        <f>S12-Q12</f>
        <v>24008.759999999776</v>
      </c>
      <c r="Z12" s="8">
        <f>S12/Q12</f>
        <v>0.99780669984774073</v>
      </c>
      <c r="AA12" s="13">
        <f>U12-Q12</f>
        <v>139216.99000000022</v>
      </c>
      <c r="AB12" s="8">
        <f>U12/Q12</f>
        <v>0.98728194853194939</v>
      </c>
      <c r="AC12" s="13">
        <f>R12-C12</f>
        <v>46911</v>
      </c>
      <c r="AD12" s="13">
        <f>S12-C12</f>
        <v>-245257</v>
      </c>
      <c r="AE12" s="13">
        <f>+U12-C12</f>
        <v>-130048.76999999955</v>
      </c>
      <c r="AF12" s="8">
        <f>(R12/C12)-1</f>
        <v>-4.3935910570833681E-3</v>
      </c>
      <c r="AG12" s="14">
        <f>(+S12/C12)-1</f>
        <v>2.2970283342650832E-2</v>
      </c>
      <c r="AH12" s="9">
        <f>U12-C12</f>
        <v>-130048.76999999955</v>
      </c>
      <c r="AI12" s="8">
        <f>(+U12/C12)-1</f>
        <v>1.2180109416910501E-2</v>
      </c>
      <c r="AJ12" s="13">
        <v>-10773897.0000012</v>
      </c>
      <c r="AK12" s="13">
        <v>-10773897.0000012</v>
      </c>
      <c r="AL12" s="14">
        <f>AK12/S12</f>
        <v>0.98640381234904417</v>
      </c>
      <c r="AM12" s="9">
        <f>AK12-S12</f>
        <v>148502.99999880046</v>
      </c>
      <c r="AN12" s="14">
        <f t="shared" si="4"/>
        <v>0.99691920244339294</v>
      </c>
    </row>
    <row r="13" spans="1:42" ht="14.4" thickTop="1" thickBot="1" x14ac:dyDescent="0.3">
      <c r="A13" s="12" t="s">
        <v>43</v>
      </c>
      <c r="B13" s="6"/>
      <c r="C13" s="13">
        <v>114135978</v>
      </c>
      <c r="D13" s="13">
        <v>110862607</v>
      </c>
      <c r="E13" s="13"/>
      <c r="F13" s="13">
        <v>0</v>
      </c>
      <c r="G13" s="13"/>
      <c r="H13" s="13"/>
      <c r="I13" s="13"/>
      <c r="J13" s="13"/>
      <c r="K13" s="13">
        <v>300000</v>
      </c>
      <c r="L13" s="13">
        <v>10000000</v>
      </c>
      <c r="M13" s="13">
        <v>150000</v>
      </c>
      <c r="N13" s="13">
        <f>SUM(J13:M13)</f>
        <v>10450000</v>
      </c>
      <c r="O13" s="13">
        <v>10450000</v>
      </c>
      <c r="P13" s="13"/>
      <c r="Q13" s="13">
        <f>SUM(D13:M13)+P13+1596551</f>
        <v>122909158</v>
      </c>
      <c r="R13" s="13">
        <v>120069387</v>
      </c>
      <c r="S13" s="13">
        <v>121379400</v>
      </c>
      <c r="T13" s="13">
        <f t="shared" si="6"/>
        <v>1310013</v>
      </c>
      <c r="U13" s="13">
        <v>123256544.36</v>
      </c>
      <c r="V13" s="13">
        <f t="shared" si="7"/>
        <v>1877144.3599999994</v>
      </c>
      <c r="W13" s="13">
        <f>R13-Q13</f>
        <v>-2839771</v>
      </c>
      <c r="X13" s="8">
        <f>(R13/Q13)-1</f>
        <v>-2.3104633098210647E-2</v>
      </c>
      <c r="Y13" s="13">
        <f>S13-Q13</f>
        <v>-1529758</v>
      </c>
      <c r="Z13" s="8">
        <f>S13/Q13</f>
        <v>0.9875537508767247</v>
      </c>
      <c r="AA13" s="13">
        <f>U13-Q13</f>
        <v>347386.3599999994</v>
      </c>
      <c r="AB13" s="8">
        <f>U13/Q13</f>
        <v>1.0028263667708146</v>
      </c>
      <c r="AC13" s="13">
        <f>R13-C13</f>
        <v>5933409</v>
      </c>
      <c r="AD13" s="13">
        <f>S13-C13</f>
        <v>7243422</v>
      </c>
      <c r="AE13" s="13">
        <f>+U13-C13</f>
        <v>9120566.3599999994</v>
      </c>
      <c r="AF13" s="8">
        <f>(R13/C13)-1</f>
        <v>5.1985439683182033E-2</v>
      </c>
      <c r="AG13" s="14">
        <f>(+S13/C13)-1</f>
        <v>6.3463091366334989E-2</v>
      </c>
      <c r="AH13" s="9">
        <f>U13-C13</f>
        <v>9120566.3599999994</v>
      </c>
      <c r="AI13" s="8">
        <f>(+U13/C13)-1</f>
        <v>7.9909652677615739E-2</v>
      </c>
      <c r="AJ13" s="13">
        <v>114668801</v>
      </c>
      <c r="AK13" s="13">
        <v>114668801</v>
      </c>
      <c r="AL13" s="14">
        <f>AK13/S13</f>
        <v>0.94471385589317458</v>
      </c>
      <c r="AM13" s="9">
        <f>AK13-S13</f>
        <v>-6710599</v>
      </c>
      <c r="AN13" s="14">
        <f t="shared" si="4"/>
        <v>0.93032626864081591</v>
      </c>
    </row>
    <row r="14" spans="1:42" ht="14.4" thickTop="1" thickBot="1" x14ac:dyDescent="0.3">
      <c r="A14" s="12" t="s">
        <v>44</v>
      </c>
      <c r="B14" s="6"/>
      <c r="C14" s="13">
        <f>C13+C12</f>
        <v>103458835</v>
      </c>
      <c r="D14" s="13">
        <f>D13+D12</f>
        <v>99916198</v>
      </c>
      <c r="E14" s="13"/>
      <c r="F14" s="13">
        <f>F13+F12</f>
        <v>0</v>
      </c>
      <c r="G14" s="13"/>
      <c r="H14" s="13"/>
      <c r="I14" s="13"/>
      <c r="J14" s="13"/>
      <c r="K14" s="13"/>
      <c r="L14" s="13"/>
      <c r="M14" s="13"/>
      <c r="N14" s="13">
        <f>SUM(K14:M14)</f>
        <v>0</v>
      </c>
      <c r="O14" s="13"/>
      <c r="P14" s="13"/>
      <c r="Q14" s="13">
        <f>Q13+Q12</f>
        <v>111962749.23999999</v>
      </c>
      <c r="R14" s="13">
        <f>R13+R12</f>
        <v>109439155</v>
      </c>
      <c r="S14" s="13">
        <f>S13+S12</f>
        <v>110457000</v>
      </c>
      <c r="T14" s="13">
        <f t="shared" si="6"/>
        <v>1017845</v>
      </c>
      <c r="U14" s="13">
        <f>U12+U13</f>
        <v>112449352.59</v>
      </c>
      <c r="V14" s="13">
        <f t="shared" si="7"/>
        <v>1992352.5900000036</v>
      </c>
      <c r="W14" s="13">
        <f>W13+W12</f>
        <v>-2523594.2400000002</v>
      </c>
      <c r="X14" s="8">
        <f>(R14/Q14)-1</f>
        <v>-2.2539588006994071E-2</v>
      </c>
      <c r="Y14" s="13">
        <f>Y13+Y12</f>
        <v>-1505749.2400000002</v>
      </c>
      <c r="Z14" s="8">
        <f>S14/Q14</f>
        <v>0.98655133738479117</v>
      </c>
      <c r="AA14" s="13">
        <f>U14-Q14</f>
        <v>486603.35000000894</v>
      </c>
      <c r="AB14" s="8">
        <f>U14/Q14</f>
        <v>1.0043461182697198</v>
      </c>
      <c r="AC14" s="13">
        <f>AC13+AC12</f>
        <v>5980320</v>
      </c>
      <c r="AD14" s="13">
        <f>AD13+AD12</f>
        <v>6998165</v>
      </c>
      <c r="AE14" s="13">
        <f>+U14-C14</f>
        <v>8990517.5900000036</v>
      </c>
      <c r="AF14" s="8">
        <f>(R14/C14)-1</f>
        <v>5.780385986368386E-2</v>
      </c>
      <c r="AG14" s="14">
        <f>(+S14/C14)-1</f>
        <v>6.7642023999207046E-2</v>
      </c>
      <c r="AH14" s="13">
        <f>AH13+AH12</f>
        <v>8990517.5899999999</v>
      </c>
      <c r="AI14" s="8">
        <f>(+U14/C14)-1</f>
        <v>8.6899466729931873E-2</v>
      </c>
      <c r="AJ14" s="13">
        <f>AJ13+AJ12</f>
        <v>103894903.99999881</v>
      </c>
      <c r="AK14" s="13">
        <f>AK13+AK12</f>
        <v>103894903.99999881</v>
      </c>
      <c r="AL14" s="14">
        <f>AK14/S14</f>
        <v>0.94059139755740973</v>
      </c>
      <c r="AM14" s="9">
        <f>AK14-S14</f>
        <v>-6562096.0000011921</v>
      </c>
      <c r="AN14" s="14">
        <f t="shared" si="4"/>
        <v>0.92392620861774588</v>
      </c>
    </row>
    <row r="15" spans="1:42" ht="14.4" thickTop="1" thickBot="1" x14ac:dyDescent="0.3">
      <c r="A15" s="16" t="s">
        <v>49</v>
      </c>
      <c r="B15" s="6" t="s">
        <v>50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3">
        <f>SUM(K15:M15)</f>
        <v>0</v>
      </c>
      <c r="O15" s="6"/>
      <c r="P15" s="6"/>
      <c r="Q15" s="13">
        <f>SUM(D15:H15)</f>
        <v>0</v>
      </c>
      <c r="R15" s="6"/>
      <c r="S15" s="6"/>
      <c r="T15" s="6">
        <f t="shared" si="6"/>
        <v>0</v>
      </c>
      <c r="U15" s="6"/>
      <c r="V15" s="6">
        <f t="shared" si="7"/>
        <v>0</v>
      </c>
      <c r="W15" s="6"/>
      <c r="X15" s="11"/>
      <c r="Y15" s="6"/>
      <c r="Z15" s="11"/>
      <c r="AA15" s="6"/>
      <c r="AB15" s="11"/>
      <c r="AC15" s="6"/>
      <c r="AD15" s="6"/>
      <c r="AE15" s="6"/>
      <c r="AF15" s="11"/>
      <c r="AG15" s="17"/>
      <c r="AH15" s="9"/>
      <c r="AI15" s="11"/>
      <c r="AJ15" s="13"/>
      <c r="AK15" s="13"/>
      <c r="AL15" s="17"/>
      <c r="AM15" s="9"/>
      <c r="AN15" s="14"/>
    </row>
    <row r="16" spans="1:42" ht="14.4" thickTop="1" thickBot="1" x14ac:dyDescent="0.3">
      <c r="A16" s="12" t="s">
        <v>42</v>
      </c>
      <c r="B16" s="6"/>
      <c r="C16" s="13">
        <v>-36698317</v>
      </c>
      <c r="D16" s="13">
        <v>-36135066</v>
      </c>
      <c r="E16" s="13">
        <v>0</v>
      </c>
      <c r="F16" s="13">
        <v>0</v>
      </c>
      <c r="G16" s="13"/>
      <c r="H16" s="13"/>
      <c r="I16" s="13"/>
      <c r="J16" s="13"/>
      <c r="K16" s="13"/>
      <c r="L16" s="13"/>
      <c r="M16" s="13"/>
      <c r="N16" s="13">
        <f>SUM(J16:M16)</f>
        <v>0</v>
      </c>
      <c r="O16" s="13"/>
      <c r="P16" s="13"/>
      <c r="Q16" s="13">
        <f>SUM(D16:M16)+P16</f>
        <v>-36135066</v>
      </c>
      <c r="R16" s="13">
        <v>-36878911</v>
      </c>
      <c r="S16" s="13">
        <v>-36878911</v>
      </c>
      <c r="T16" s="13">
        <f t="shared" si="6"/>
        <v>0</v>
      </c>
      <c r="U16" s="13">
        <v>-38896153.700000003</v>
      </c>
      <c r="V16" s="13">
        <f t="shared" si="7"/>
        <v>-2017242.700000003</v>
      </c>
      <c r="W16" s="13">
        <f>R16-Q16</f>
        <v>-743845</v>
      </c>
      <c r="X16" s="8">
        <f>(R16/Q16)-1</f>
        <v>2.0585129137442371E-2</v>
      </c>
      <c r="Y16" s="13">
        <f>S16-Q16</f>
        <v>-743845</v>
      </c>
      <c r="Z16" s="8">
        <f>S16/Q16</f>
        <v>1.0205851291374424</v>
      </c>
      <c r="AA16" s="13">
        <f>U16-Q16</f>
        <v>-2761087.700000003</v>
      </c>
      <c r="AB16" s="8">
        <f>U16/Q16</f>
        <v>1.0764102022118904</v>
      </c>
      <c r="AC16" s="13">
        <f>R16-C16</f>
        <v>-180594</v>
      </c>
      <c r="AD16" s="13">
        <f>S16-C16</f>
        <v>-180594</v>
      </c>
      <c r="AE16" s="13">
        <f>+U16-C16</f>
        <v>-2197836.700000003</v>
      </c>
      <c r="AF16" s="8">
        <f>(R16/C16)-1</f>
        <v>4.921043109415546E-3</v>
      </c>
      <c r="AG16" s="14">
        <f>(+S16/C16)-1</f>
        <v>4.921043109415546E-3</v>
      </c>
      <c r="AH16" s="9">
        <f>U16-C16</f>
        <v>-2197836.700000003</v>
      </c>
      <c r="AI16" s="8">
        <f>(+U16/C16)-1</f>
        <v>5.9889305005458526E-2</v>
      </c>
      <c r="AJ16" s="13">
        <v>-41023910.120003998</v>
      </c>
      <c r="AK16" s="13">
        <v>-41023910.120003998</v>
      </c>
      <c r="AL16" s="14">
        <f>AK16/S16</f>
        <v>1.1123948350862096</v>
      </c>
      <c r="AM16" s="9">
        <f>AK16-S16</f>
        <v>-4144999.1200039983</v>
      </c>
      <c r="AN16" s="14">
        <f t="shared" si="4"/>
        <v>1.0547035173815655</v>
      </c>
    </row>
    <row r="17" spans="1:40" ht="14.4" thickTop="1" thickBot="1" x14ac:dyDescent="0.3">
      <c r="A17" s="12" t="s">
        <v>43</v>
      </c>
      <c r="B17" s="6"/>
      <c r="C17" s="13">
        <v>208364070</v>
      </c>
      <c r="D17" s="13">
        <v>203256014</v>
      </c>
      <c r="E17" s="13">
        <v>-77223</v>
      </c>
      <c r="F17" s="13">
        <v>0</v>
      </c>
      <c r="G17" s="13">
        <v>6455.02</v>
      </c>
      <c r="H17" s="13"/>
      <c r="I17" s="13"/>
      <c r="J17" s="13"/>
      <c r="K17" s="13">
        <v>640000</v>
      </c>
      <c r="L17" s="13">
        <v>13200000</v>
      </c>
      <c r="M17" s="13">
        <v>610000</v>
      </c>
      <c r="N17" s="13">
        <f>SUM(J17:M17)</f>
        <v>14450000</v>
      </c>
      <c r="O17" s="13">
        <v>14450000</v>
      </c>
      <c r="P17" s="13"/>
      <c r="Q17" s="13">
        <f>SUM(D17:M17)+P17+2280031</f>
        <v>219915277.02000001</v>
      </c>
      <c r="R17" s="13">
        <v>217699720</v>
      </c>
      <c r="S17" s="13">
        <v>217699720</v>
      </c>
      <c r="T17" s="13">
        <f t="shared" si="6"/>
        <v>0</v>
      </c>
      <c r="U17" s="13">
        <v>217073519.86000001</v>
      </c>
      <c r="V17" s="13">
        <f t="shared" si="7"/>
        <v>-626200.13999998569</v>
      </c>
      <c r="W17" s="13">
        <f>R17-Q17</f>
        <v>-2215557.0200000107</v>
      </c>
      <c r="X17" s="8">
        <f>(R17/Q17)-1</f>
        <v>-1.0074593498106577E-2</v>
      </c>
      <c r="Y17" s="13">
        <f>S17-Q17</f>
        <v>-2215557.0200000107</v>
      </c>
      <c r="Z17" s="8">
        <f>S17/Q17</f>
        <v>0.98992540650189342</v>
      </c>
      <c r="AA17" s="13">
        <f>U17-Q17</f>
        <v>-2841757.1599999964</v>
      </c>
      <c r="AB17" s="8">
        <f>U17/Q17</f>
        <v>0.98707794565931151</v>
      </c>
      <c r="AC17" s="13">
        <f>R17-C17</f>
        <v>9335650</v>
      </c>
      <c r="AD17" s="13">
        <f>S17-C17</f>
        <v>9335650</v>
      </c>
      <c r="AE17" s="13">
        <f>+U17-C17</f>
        <v>8709449.8600000143</v>
      </c>
      <c r="AF17" s="8" t="e">
        <f>(#REF!/C17)-1</f>
        <v>#REF!</v>
      </c>
      <c r="AG17" s="14">
        <f>(+S17/C17)-1</f>
        <v>4.480450972185368E-2</v>
      </c>
      <c r="AH17" s="9">
        <f>U17-C17</f>
        <v>8709449.8600000143</v>
      </c>
      <c r="AI17" s="8">
        <f>(+U17/C17)-1</f>
        <v>4.179919244234398E-2</v>
      </c>
      <c r="AJ17" s="13">
        <v>217392957</v>
      </c>
      <c r="AK17" s="13">
        <v>217392957</v>
      </c>
      <c r="AL17" s="14">
        <f>AK17/S17</f>
        <v>0.99859088932222784</v>
      </c>
      <c r="AM17" s="9">
        <f>AK17-S17</f>
        <v>-306763</v>
      </c>
      <c r="AN17" s="14">
        <f t="shared" si="4"/>
        <v>1.0014715619860313</v>
      </c>
    </row>
    <row r="18" spans="1:40" ht="14.4" thickTop="1" thickBot="1" x14ac:dyDescent="0.3">
      <c r="A18" s="12" t="s">
        <v>44</v>
      </c>
      <c r="B18" s="6"/>
      <c r="C18" s="13">
        <f>C17+C16</f>
        <v>171665753</v>
      </c>
      <c r="D18" s="13">
        <f>D17+D16</f>
        <v>167120948</v>
      </c>
      <c r="E18" s="13">
        <f>E17+E16</f>
        <v>-77223</v>
      </c>
      <c r="F18" s="13">
        <f>F17+F16</f>
        <v>0</v>
      </c>
      <c r="G18" s="13"/>
      <c r="H18" s="13"/>
      <c r="I18" s="13"/>
      <c r="J18" s="13"/>
      <c r="K18" s="13"/>
      <c r="L18" s="13"/>
      <c r="M18" s="13"/>
      <c r="N18" s="13">
        <f>SUM(K18:M18)</f>
        <v>0</v>
      </c>
      <c r="O18" s="13"/>
      <c r="P18" s="13"/>
      <c r="Q18" s="13">
        <f>Q17+Q16</f>
        <v>183780211.02000001</v>
      </c>
      <c r="R18" s="13">
        <f>R17+R16</f>
        <v>180820809</v>
      </c>
      <c r="S18" s="13">
        <f>S17+S16</f>
        <v>180820809</v>
      </c>
      <c r="T18" s="13">
        <f t="shared" si="6"/>
        <v>0</v>
      </c>
      <c r="U18" s="13">
        <f>U16+U17</f>
        <v>178177366.16000003</v>
      </c>
      <c r="V18" s="13">
        <f t="shared" si="7"/>
        <v>-2643442.8399999738</v>
      </c>
      <c r="W18" s="13">
        <f>W17+W16</f>
        <v>-2959402.0200000107</v>
      </c>
      <c r="X18" s="8">
        <f>(R18/Q18)-1</f>
        <v>-1.6102941680037341E-2</v>
      </c>
      <c r="Y18" s="13">
        <f>Y17+Y16</f>
        <v>-2959402.0200000107</v>
      </c>
      <c r="Z18" s="8">
        <f>S18/Q18</f>
        <v>0.98389705831996266</v>
      </c>
      <c r="AA18" s="13">
        <f>U18-Q18</f>
        <v>-5602844.8599999845</v>
      </c>
      <c r="AB18" s="8">
        <f>U18/Q18</f>
        <v>0.96951333971757025</v>
      </c>
      <c r="AC18" s="13">
        <f>AC17+AC16</f>
        <v>9155056</v>
      </c>
      <c r="AD18" s="13">
        <f>AD17+AD16</f>
        <v>9155056</v>
      </c>
      <c r="AE18" s="13">
        <f>+U18-C18</f>
        <v>6511613.1600000262</v>
      </c>
      <c r="AF18" s="8">
        <f>(R18/C18)-1</f>
        <v>5.3330707144598533E-2</v>
      </c>
      <c r="AG18" s="14">
        <f>(+S18/C18)-1</f>
        <v>5.3330707144598533E-2</v>
      </c>
      <c r="AH18" s="13">
        <f>AH17+AH16</f>
        <v>6511613.1600000113</v>
      </c>
      <c r="AI18" s="8">
        <f>(+U18/C18)-1</f>
        <v>3.7931929031878697E-2</v>
      </c>
      <c r="AJ18" s="13">
        <f>AJ17+AJ16</f>
        <v>176369046.879996</v>
      </c>
      <c r="AK18" s="13">
        <f>AK17+AK16</f>
        <v>176369046.879996</v>
      </c>
      <c r="AL18" s="14">
        <f>AK18/S18</f>
        <v>0.97538025548816121</v>
      </c>
      <c r="AM18" s="9">
        <f>AK18-S18</f>
        <v>-4451762.1200039983</v>
      </c>
      <c r="AN18" s="14">
        <f t="shared" si="4"/>
        <v>0.98985101576605306</v>
      </c>
    </row>
    <row r="19" spans="1:40" ht="14.4" thickTop="1" thickBot="1" x14ac:dyDescent="0.3">
      <c r="A19" s="16" t="s">
        <v>51</v>
      </c>
      <c r="B19" s="6" t="s">
        <v>52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3">
        <f>SUM(K19:M19)</f>
        <v>0</v>
      </c>
      <c r="O19" s="6"/>
      <c r="P19" s="6"/>
      <c r="Q19" s="13">
        <f>SUM(D19:H19)</f>
        <v>0</v>
      </c>
      <c r="R19" s="6"/>
      <c r="S19" s="6"/>
      <c r="T19" s="6">
        <f t="shared" si="6"/>
        <v>0</v>
      </c>
      <c r="U19" s="6"/>
      <c r="V19" s="6">
        <f t="shared" si="7"/>
        <v>0</v>
      </c>
      <c r="W19" s="6"/>
      <c r="X19" s="11"/>
      <c r="Y19" s="6"/>
      <c r="Z19" s="11"/>
      <c r="AA19" s="6"/>
      <c r="AB19" s="11"/>
      <c r="AC19" s="6"/>
      <c r="AD19" s="6"/>
      <c r="AE19" s="6"/>
      <c r="AF19" s="11"/>
      <c r="AG19" s="17"/>
      <c r="AH19" s="9">
        <f>AK19-C19</f>
        <v>0</v>
      </c>
      <c r="AI19" s="11"/>
      <c r="AJ19" s="13"/>
      <c r="AK19" s="13"/>
      <c r="AL19" s="17"/>
      <c r="AM19" s="9"/>
      <c r="AN19" s="14"/>
    </row>
    <row r="20" spans="1:40" ht="14.4" thickTop="1" thickBot="1" x14ac:dyDescent="0.3">
      <c r="A20" s="12" t="s">
        <v>42</v>
      </c>
      <c r="B20" s="6"/>
      <c r="C20" s="6">
        <v>-19</v>
      </c>
      <c r="D20" s="10"/>
      <c r="E20" s="6"/>
      <c r="F20" s="6"/>
      <c r="G20" s="6"/>
      <c r="H20" s="6"/>
      <c r="I20" s="6"/>
      <c r="J20" s="6"/>
      <c r="K20" s="6"/>
      <c r="L20" s="6"/>
      <c r="M20" s="6"/>
      <c r="N20" s="13">
        <f>SUM(J20:M20)</f>
        <v>0</v>
      </c>
      <c r="O20" s="6"/>
      <c r="P20" s="6"/>
      <c r="Q20" s="13">
        <f>SUM(D20:M20)+P20</f>
        <v>0</v>
      </c>
      <c r="R20" s="13">
        <v>-1537</v>
      </c>
      <c r="S20" s="13">
        <v>-2338</v>
      </c>
      <c r="T20" s="13">
        <f t="shared" si="6"/>
        <v>-801</v>
      </c>
      <c r="U20" s="13">
        <v>-2338.36</v>
      </c>
      <c r="V20" s="13">
        <f t="shared" si="7"/>
        <v>-0.36000000000012733</v>
      </c>
      <c r="W20" s="13">
        <f>R20-Q20</f>
        <v>-1537</v>
      </c>
      <c r="X20" s="8"/>
      <c r="Y20" s="13">
        <f>S20-Q20</f>
        <v>-2338</v>
      </c>
      <c r="Z20" s="8">
        <v>0</v>
      </c>
      <c r="AA20" s="13">
        <f t="shared" ref="AA20:AA26" si="8">U20-Q20</f>
        <v>-2338.36</v>
      </c>
      <c r="AB20" s="8"/>
      <c r="AC20" s="13">
        <f>R20-C20</f>
        <v>-1518</v>
      </c>
      <c r="AD20" s="13">
        <f>S20-C20</f>
        <v>-2319</v>
      </c>
      <c r="AE20" s="13">
        <f>+U20-C20</f>
        <v>-2319.36</v>
      </c>
      <c r="AF20" s="8"/>
      <c r="AG20" s="14">
        <f>(+S20/C20)-1</f>
        <v>122.05263157894737</v>
      </c>
      <c r="AH20" s="9">
        <f>U20-C20</f>
        <v>-2319.36</v>
      </c>
      <c r="AI20" s="8">
        <f>(+U20/C20)-1</f>
        <v>122.07157894736842</v>
      </c>
      <c r="AJ20" s="13"/>
      <c r="AK20" s="13"/>
      <c r="AL20" s="14">
        <f>AK20/S20</f>
        <v>0</v>
      </c>
      <c r="AM20" s="9">
        <f>AK20-S20</f>
        <v>2338</v>
      </c>
      <c r="AN20" s="14">
        <f t="shared" si="4"/>
        <v>0</v>
      </c>
    </row>
    <row r="21" spans="1:40" ht="14.4" thickTop="1" thickBot="1" x14ac:dyDescent="0.3">
      <c r="A21" s="12" t="s">
        <v>43</v>
      </c>
      <c r="B21" s="6"/>
      <c r="C21" s="13">
        <v>242493997</v>
      </c>
      <c r="D21" s="13">
        <v>241823000</v>
      </c>
      <c r="E21" s="13"/>
      <c r="F21" s="13">
        <v>0</v>
      </c>
      <c r="G21" s="13"/>
      <c r="H21" s="13"/>
      <c r="I21" s="13"/>
      <c r="J21" s="13"/>
      <c r="K21" s="13"/>
      <c r="L21" s="13">
        <v>3250000</v>
      </c>
      <c r="M21" s="13"/>
      <c r="N21" s="13">
        <f>SUM(J21:M21)</f>
        <v>3250000</v>
      </c>
      <c r="O21" s="13">
        <v>3250000</v>
      </c>
      <c r="P21" s="13"/>
      <c r="Q21" s="13">
        <f>SUM(D21:M21)+P21+1500000</f>
        <v>246573000</v>
      </c>
      <c r="R21" s="13">
        <v>240814064</v>
      </c>
      <c r="S21" s="13">
        <v>245071750</v>
      </c>
      <c r="T21" s="13">
        <f t="shared" si="6"/>
        <v>4257686</v>
      </c>
      <c r="U21" s="13">
        <v>245467494.52000001</v>
      </c>
      <c r="V21" s="13">
        <f t="shared" si="7"/>
        <v>395744.52000001073</v>
      </c>
      <c r="W21" s="13">
        <f>R21-Q21</f>
        <v>-5758936</v>
      </c>
      <c r="X21" s="8">
        <f>(R21/Q21)-1</f>
        <v>-2.335590677000321E-2</v>
      </c>
      <c r="Y21" s="13">
        <f>S21-Q21</f>
        <v>-1501250</v>
      </c>
      <c r="Z21" s="8">
        <f>S21/Q21</f>
        <v>0.9939115393818464</v>
      </c>
      <c r="AA21" s="13">
        <f t="shared" si="8"/>
        <v>-1105505.4799999893</v>
      </c>
      <c r="AB21" s="8">
        <f>U21/Q21</f>
        <v>0.9955165185158148</v>
      </c>
      <c r="AC21" s="13">
        <f>R21-C21</f>
        <v>-1679933</v>
      </c>
      <c r="AD21" s="13">
        <f>S21-C21</f>
        <v>2577753</v>
      </c>
      <c r="AE21" s="13">
        <f>+U21-C21</f>
        <v>2973497.5200000107</v>
      </c>
      <c r="AF21" s="8">
        <f>(R21/C21)-1</f>
        <v>-6.927730256349407E-3</v>
      </c>
      <c r="AG21" s="14">
        <f>(+S21/C21)-1</f>
        <v>1.0630172424433315E-2</v>
      </c>
      <c r="AH21" s="9">
        <f>U21-C21</f>
        <v>2973497.5200000107</v>
      </c>
      <c r="AI21" s="8">
        <f>(+U21/C21)-1</f>
        <v>1.2262148988372745E-2</v>
      </c>
      <c r="AJ21" s="13">
        <v>249024219.5999988</v>
      </c>
      <c r="AK21" s="13">
        <v>249024220.59999901</v>
      </c>
      <c r="AL21" s="14">
        <f>AK21/S21</f>
        <v>1.0161278099168876</v>
      </c>
      <c r="AM21" s="9">
        <f>AK21-S21</f>
        <v>3952470.5999990106</v>
      </c>
      <c r="AN21" s="14">
        <f t="shared" si="4"/>
        <v>1.0144896011056534</v>
      </c>
    </row>
    <row r="22" spans="1:40" ht="14.4" thickTop="1" thickBot="1" x14ac:dyDescent="0.3">
      <c r="A22" s="12" t="s">
        <v>44</v>
      </c>
      <c r="B22" s="6"/>
      <c r="C22" s="13">
        <f>C21+C20</f>
        <v>242493978</v>
      </c>
      <c r="D22" s="13">
        <f>D21+D20</f>
        <v>241823000</v>
      </c>
      <c r="E22" s="13">
        <f>E21+E20</f>
        <v>0</v>
      </c>
      <c r="F22" s="13">
        <f>F21+F20</f>
        <v>0</v>
      </c>
      <c r="G22" s="13"/>
      <c r="H22" s="13"/>
      <c r="I22" s="13"/>
      <c r="J22" s="13"/>
      <c r="K22" s="13"/>
      <c r="L22" s="13"/>
      <c r="M22" s="13"/>
      <c r="N22" s="13">
        <f>SUM(K22:M22)</f>
        <v>0</v>
      </c>
      <c r="O22" s="13"/>
      <c r="P22" s="13"/>
      <c r="Q22" s="13">
        <f>Q21+Q20</f>
        <v>246573000</v>
      </c>
      <c r="R22" s="13">
        <f>R21+R20</f>
        <v>240812527</v>
      </c>
      <c r="S22" s="13">
        <f>S21+S20</f>
        <v>245069412</v>
      </c>
      <c r="T22" s="13">
        <f t="shared" si="6"/>
        <v>4256885</v>
      </c>
      <c r="U22" s="13">
        <f>U21+U20</f>
        <v>245465156.16</v>
      </c>
      <c r="V22" s="13">
        <f t="shared" si="7"/>
        <v>395744.15999999642</v>
      </c>
      <c r="W22" s="13">
        <f>W21+W20</f>
        <v>-5760473</v>
      </c>
      <c r="X22" s="8">
        <f>(R22/Q22)-1</f>
        <v>-2.3362140218109895E-2</v>
      </c>
      <c r="Y22" s="13">
        <f>Y21+Y20</f>
        <v>-1503588</v>
      </c>
      <c r="Z22" s="8">
        <f>S22/Q22</f>
        <v>0.99390205740287862</v>
      </c>
      <c r="AA22" s="13">
        <f t="shared" si="8"/>
        <v>-1107843.8400000036</v>
      </c>
      <c r="AB22" s="8">
        <f>U22/Q22</f>
        <v>0.99550703507683325</v>
      </c>
      <c r="AC22" s="13">
        <f>AC21+AC20</f>
        <v>-1681451</v>
      </c>
      <c r="AD22" s="13">
        <f>AD21+AD20</f>
        <v>2575434</v>
      </c>
      <c r="AE22" s="13">
        <f>+U22-C22</f>
        <v>2971178.1599999964</v>
      </c>
      <c r="AF22" s="8">
        <f>(R22/C22)-1</f>
        <v>-6.9339907484218255E-3</v>
      </c>
      <c r="AG22" s="14">
        <f>(+S22/C22)-1</f>
        <v>1.0620610133254438E-2</v>
      </c>
      <c r="AH22" s="13">
        <f>AH21+AH20</f>
        <v>2971178.1600000109</v>
      </c>
      <c r="AI22" s="8">
        <f>(+U22/C22)-1</f>
        <v>1.2252585340490452E-2</v>
      </c>
      <c r="AJ22" s="13">
        <f>AJ21+AJ20</f>
        <v>249024219.5999988</v>
      </c>
      <c r="AK22" s="13">
        <f>AK21+AK20</f>
        <v>249024220.59999901</v>
      </c>
      <c r="AL22" s="14">
        <f>AK22/S22</f>
        <v>1.0161375039329634</v>
      </c>
      <c r="AM22" s="9">
        <f>AK22-S22</f>
        <v>3954808.5999990106</v>
      </c>
      <c r="AN22" s="14">
        <f t="shared" si="4"/>
        <v>1.0144992653771159</v>
      </c>
    </row>
    <row r="23" spans="1:40" ht="14.4" thickTop="1" thickBot="1" x14ac:dyDescent="0.3">
      <c r="A23" s="16" t="s">
        <v>53</v>
      </c>
      <c r="B23" s="6" t="s">
        <v>54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3">
        <f>SUM(K23:M23)</f>
        <v>0</v>
      </c>
      <c r="O23" s="6"/>
      <c r="P23" s="6"/>
      <c r="Q23" s="13">
        <f>SUM(D23:H23)</f>
        <v>0</v>
      </c>
      <c r="R23" s="6"/>
      <c r="S23" s="6"/>
      <c r="T23" s="6">
        <f t="shared" si="6"/>
        <v>0</v>
      </c>
      <c r="U23" s="6"/>
      <c r="V23" s="6">
        <f t="shared" si="7"/>
        <v>0</v>
      </c>
      <c r="W23" s="6"/>
      <c r="X23" s="11"/>
      <c r="Y23" s="6">
        <f>S23-Q23</f>
        <v>0</v>
      </c>
      <c r="Z23" s="8"/>
      <c r="AA23" s="6">
        <f t="shared" si="8"/>
        <v>0</v>
      </c>
      <c r="AB23" s="11"/>
      <c r="AC23" s="6"/>
      <c r="AD23" s="6"/>
      <c r="AE23" s="6"/>
      <c r="AF23" s="11"/>
      <c r="AG23" s="17"/>
      <c r="AH23" s="9">
        <f>AK23-C23</f>
        <v>0</v>
      </c>
      <c r="AI23" s="11"/>
      <c r="AJ23" s="13"/>
      <c r="AK23" s="13"/>
      <c r="AL23" s="17"/>
      <c r="AM23" s="9"/>
      <c r="AN23" s="14"/>
    </row>
    <row r="24" spans="1:40" ht="14.4" thickTop="1" thickBot="1" x14ac:dyDescent="0.3">
      <c r="A24" s="12" t="s">
        <v>42</v>
      </c>
      <c r="B24" s="6"/>
      <c r="C24" s="13">
        <v>-2443405</v>
      </c>
      <c r="D24" s="13">
        <v>-1867000</v>
      </c>
      <c r="E24" s="13"/>
      <c r="F24" s="13">
        <v>-1</v>
      </c>
      <c r="G24" s="13"/>
      <c r="H24" s="13">
        <v>1339562</v>
      </c>
      <c r="I24" s="13"/>
      <c r="J24" s="13">
        <f>-H24</f>
        <v>-1339562</v>
      </c>
      <c r="K24" s="13"/>
      <c r="L24" s="13"/>
      <c r="M24" s="13"/>
      <c r="N24" s="13">
        <f>SUM(J24:M24)</f>
        <v>-1339562</v>
      </c>
      <c r="O24" s="13">
        <f>-(H24+I24)</f>
        <v>-1339562</v>
      </c>
      <c r="P24" s="13">
        <v>-940000</v>
      </c>
      <c r="Q24" s="13">
        <f>SUM(D24:M24)+P24</f>
        <v>-2807001</v>
      </c>
      <c r="R24" s="13">
        <v>-1762000</v>
      </c>
      <c r="S24" s="13">
        <v>-1772000</v>
      </c>
      <c r="T24" s="13">
        <f t="shared" si="6"/>
        <v>-10000</v>
      </c>
      <c r="U24" s="13">
        <v>-1975118.59</v>
      </c>
      <c r="V24" s="13">
        <f t="shared" si="7"/>
        <v>-203118.59000000008</v>
      </c>
      <c r="W24" s="13">
        <f>R24-Q24</f>
        <v>1045001</v>
      </c>
      <c r="X24" s="8">
        <f>(R24/Q24)-1</f>
        <v>-0.37228380039764863</v>
      </c>
      <c r="Y24" s="13">
        <f>S24-Q24</f>
        <v>1035001</v>
      </c>
      <c r="Z24" s="8">
        <f>S24/Q24</f>
        <v>0.63127872059895951</v>
      </c>
      <c r="AA24" s="13">
        <f t="shared" si="8"/>
        <v>831882.40999999992</v>
      </c>
      <c r="AB24" s="8">
        <f>U24/Q24</f>
        <v>0.70364014476660319</v>
      </c>
      <c r="AC24" s="13">
        <f>R24-C24</f>
        <v>681405</v>
      </c>
      <c r="AD24" s="13">
        <f>S24-C24</f>
        <v>671405</v>
      </c>
      <c r="AE24" s="13">
        <f>+U24-C24</f>
        <v>468286.40999999992</v>
      </c>
      <c r="AF24" s="8">
        <f>(R24/C24)-1</f>
        <v>-0.27887517623971469</v>
      </c>
      <c r="AG24" s="14">
        <f>(+S24/C24)-1</f>
        <v>-0.27478252684266424</v>
      </c>
      <c r="AH24" s="9">
        <f>U24-C24</f>
        <v>468286.40999999992</v>
      </c>
      <c r="AI24" s="8">
        <f>(+U24/C24)-1</f>
        <v>-0.19165320935334085</v>
      </c>
      <c r="AJ24" s="13">
        <v>-4013990.0000004</v>
      </c>
      <c r="AK24" s="13">
        <v>-4013990.0000004</v>
      </c>
      <c r="AL24" s="14">
        <f>AK24/S24</f>
        <v>2.2652313769753949</v>
      </c>
      <c r="AM24" s="9">
        <f>AK24-S24</f>
        <v>-2241990.0000004</v>
      </c>
      <c r="AN24" s="14">
        <f t="shared" si="4"/>
        <v>2.0322779707118244</v>
      </c>
    </row>
    <row r="25" spans="1:40" ht="14.4" thickTop="1" thickBot="1" x14ac:dyDescent="0.3">
      <c r="A25" s="12" t="s">
        <v>43</v>
      </c>
      <c r="B25" s="6"/>
      <c r="C25" s="13">
        <f>29341918-1354060</f>
        <v>27987858</v>
      </c>
      <c r="D25" s="13">
        <v>34028362</v>
      </c>
      <c r="E25" s="13">
        <v>77223</v>
      </c>
      <c r="F25" s="13">
        <f>-1582703-19343</f>
        <v>-1602046</v>
      </c>
      <c r="G25" s="13"/>
      <c r="H25" s="13">
        <v>32711690</v>
      </c>
      <c r="I25" s="13">
        <v>1525969.937209076</v>
      </c>
      <c r="J25" s="13"/>
      <c r="K25" s="13">
        <f>-I25+35970</f>
        <v>-1489999.937209076</v>
      </c>
      <c r="L25" s="13">
        <f>-H25+11690</f>
        <v>-32700000</v>
      </c>
      <c r="M25" s="13">
        <v>-960000</v>
      </c>
      <c r="N25" s="13">
        <f>SUM(J25:M25)</f>
        <v>-35149999.937209077</v>
      </c>
      <c r="O25" s="13">
        <v>-35150000</v>
      </c>
      <c r="P25" s="13">
        <v>5500000</v>
      </c>
      <c r="Q25" s="13">
        <f>SUM(D25:M25)+P25-6527404</f>
        <v>30563795</v>
      </c>
      <c r="R25" s="13">
        <v>31229158</v>
      </c>
      <c r="S25" s="13">
        <v>31432066</v>
      </c>
      <c r="T25" s="13">
        <f t="shared" si="6"/>
        <v>202908</v>
      </c>
      <c r="U25" s="13">
        <v>31349757.960000001</v>
      </c>
      <c r="V25" s="13">
        <f t="shared" si="7"/>
        <v>-82308.039999999106</v>
      </c>
      <c r="W25" s="13">
        <f>R25-Q25</f>
        <v>665363</v>
      </c>
      <c r="X25" s="8">
        <f>(R25/Q25)-1</f>
        <v>2.1769646079617955E-2</v>
      </c>
      <c r="Y25" s="13">
        <f>S25-Q25</f>
        <v>868271</v>
      </c>
      <c r="Z25" s="8">
        <f>S25/Q25</f>
        <v>1.0284084813420584</v>
      </c>
      <c r="AA25" s="13">
        <f t="shared" si="8"/>
        <v>785962.96000000089</v>
      </c>
      <c r="AB25" s="8">
        <f>U25/Q25</f>
        <v>1.0257154898467289</v>
      </c>
      <c r="AC25" s="13">
        <f>R25-C25</f>
        <v>3241300</v>
      </c>
      <c r="AD25" s="13">
        <f>S25-C25</f>
        <v>3444208</v>
      </c>
      <c r="AE25" s="13">
        <f>+U25-C25</f>
        <v>3361899.9600000009</v>
      </c>
      <c r="AF25" s="8">
        <f>(R25/C25)-1</f>
        <v>0.11581093487039995</v>
      </c>
      <c r="AG25" s="14">
        <f>(+S25/C25)-1</f>
        <v>0.12306079300530959</v>
      </c>
      <c r="AH25" s="9">
        <f>U25-C25</f>
        <v>3361899.9600000009</v>
      </c>
      <c r="AI25" s="8">
        <f>(+U25/C25)-1</f>
        <v>0.12011994487037914</v>
      </c>
      <c r="AJ25" s="13">
        <v>33945932.522793598</v>
      </c>
      <c r="AK25" s="13">
        <v>35045932.522793598</v>
      </c>
      <c r="AL25" s="14">
        <f>AK25/S25</f>
        <v>1.1149738780388663</v>
      </c>
      <c r="AM25" s="9">
        <f>AK25-S25</f>
        <v>3613866.5227935985</v>
      </c>
      <c r="AN25" s="14">
        <f t="shared" si="4"/>
        <v>1.1179012152983652</v>
      </c>
    </row>
    <row r="26" spans="1:40" ht="14.4" thickTop="1" thickBot="1" x14ac:dyDescent="0.3">
      <c r="A26" s="12" t="s">
        <v>44</v>
      </c>
      <c r="B26" s="6"/>
      <c r="C26" s="13">
        <f>C25+C24</f>
        <v>25544453</v>
      </c>
      <c r="D26" s="13">
        <f>D25+D24</f>
        <v>32161362</v>
      </c>
      <c r="E26" s="13">
        <f>E25+E24</f>
        <v>77223</v>
      </c>
      <c r="F26" s="13">
        <f>F25+F24</f>
        <v>-1602047</v>
      </c>
      <c r="G26" s="13"/>
      <c r="H26" s="13">
        <f>H25+H24</f>
        <v>34051252</v>
      </c>
      <c r="I26" s="13">
        <f>I25+I24</f>
        <v>1525969.937209076</v>
      </c>
      <c r="J26" s="13"/>
      <c r="K26" s="13"/>
      <c r="L26" s="13"/>
      <c r="M26" s="13"/>
      <c r="N26" s="13">
        <f>SUM(K26:M26)</f>
        <v>0</v>
      </c>
      <c r="O26" s="13">
        <f>O25+O24</f>
        <v>-36489562</v>
      </c>
      <c r="P26" s="13">
        <f>P25+P24</f>
        <v>4560000</v>
      </c>
      <c r="Q26" s="13">
        <f>Q25+Q24</f>
        <v>27756794</v>
      </c>
      <c r="R26" s="13">
        <f>R25+R24</f>
        <v>29467158</v>
      </c>
      <c r="S26" s="13">
        <f>S25+S24</f>
        <v>29660066</v>
      </c>
      <c r="T26" s="13">
        <f t="shared" si="6"/>
        <v>192908</v>
      </c>
      <c r="U26" s="13">
        <f>U25+U24</f>
        <v>29374639.370000001</v>
      </c>
      <c r="V26" s="13">
        <f t="shared" si="7"/>
        <v>-285426.62999999896</v>
      </c>
      <c r="W26" s="13">
        <f>W25+W24</f>
        <v>1710364</v>
      </c>
      <c r="X26" s="8">
        <f>(R26/Q26)-1</f>
        <v>6.1619652471391229E-2</v>
      </c>
      <c r="Y26" s="13">
        <f>Y25+Y24</f>
        <v>1903272</v>
      </c>
      <c r="Z26" s="8">
        <f>S26/Q26</f>
        <v>1.0685695905658268</v>
      </c>
      <c r="AA26" s="13">
        <f t="shared" si="8"/>
        <v>1617845.370000001</v>
      </c>
      <c r="AB26" s="8">
        <f>U26/Q26</f>
        <v>1.0582864638473737</v>
      </c>
      <c r="AC26" s="13">
        <f>AC25+AC24</f>
        <v>3922705</v>
      </c>
      <c r="AD26" s="13">
        <f>AD25+AD24</f>
        <v>4115613</v>
      </c>
      <c r="AE26" s="13">
        <f>+U26-C26</f>
        <v>3830186.370000001</v>
      </c>
      <c r="AF26" s="8">
        <f>(R26/C26)-1</f>
        <v>0.1535638676623845</v>
      </c>
      <c r="AG26" s="14">
        <f>(+S26/C26)-1</f>
        <v>0.16111572246232875</v>
      </c>
      <c r="AH26" s="13">
        <f>AH25+AH24</f>
        <v>3830186.370000001</v>
      </c>
      <c r="AI26" s="8">
        <f>(+U26/C26)-1</f>
        <v>0.14994199993243162</v>
      </c>
      <c r="AJ26" s="13">
        <f>AJ25+AJ24</f>
        <v>29931942.5227932</v>
      </c>
      <c r="AK26" s="13">
        <f>AK25+AK24</f>
        <v>31031942.5227932</v>
      </c>
      <c r="AL26" s="14">
        <f>AJ26/S26</f>
        <v>1.0091664166490122</v>
      </c>
      <c r="AM26" s="9">
        <f>AK26-S26</f>
        <v>1371876.5227931999</v>
      </c>
      <c r="AN26" s="14">
        <f>U26/C26</f>
        <v>1.1499419999324316</v>
      </c>
    </row>
    <row r="27" spans="1:40" ht="13.8" thickTop="1" x14ac:dyDescent="0.25">
      <c r="I27" s="18"/>
      <c r="J27" s="18">
        <f>SUM(J2:J26)</f>
        <v>0</v>
      </c>
      <c r="K27" s="18">
        <f>SUM(K7:K26)</f>
        <v>6.2790923984721303E-2</v>
      </c>
      <c r="L27" s="18">
        <f>SUM(L7:L26)</f>
        <v>0</v>
      </c>
      <c r="M27" s="18">
        <f>SUM(M2:M26)</f>
        <v>0</v>
      </c>
      <c r="N27" s="18">
        <f>SUM(N2:N26)</f>
        <v>0.18837276846170425</v>
      </c>
    </row>
    <row r="28" spans="1:40" x14ac:dyDescent="0.25">
      <c r="I28" s="18"/>
      <c r="J28" s="18"/>
      <c r="K28" s="18"/>
      <c r="L28" s="18"/>
      <c r="M28" s="18"/>
      <c r="N28" s="18"/>
    </row>
  </sheetData>
  <pageMargins left="0.70866141732283472" right="0.47244094488188981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TAE 2021 TA2020 jako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Pitkäkari Ritva</dc:creator>
  <cp:lastModifiedBy>Railamaa Jaana</cp:lastModifiedBy>
  <cp:lastPrinted>2021-02-11T11:31:48Z</cp:lastPrinted>
  <dcterms:created xsi:type="dcterms:W3CDTF">2021-02-11T11:30:23Z</dcterms:created>
  <dcterms:modified xsi:type="dcterms:W3CDTF">2021-02-16T19:59:34Z</dcterms:modified>
</cp:coreProperties>
</file>