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7115" windowHeight="8955" activeTab="2"/>
  </bookViews>
  <sheets>
    <sheet name="TAE 2012" sheetId="1" r:id="rId1"/>
    <sheet name="Yhteensopivuusraportti" sheetId="2" r:id="rId2"/>
    <sheet name="prosesseittain %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D6" i="3" l="1"/>
  <c r="D20" i="1"/>
  <c r="D16" i="1"/>
  <c r="D12" i="1"/>
  <c r="D8" i="1"/>
  <c r="I20" i="1"/>
  <c r="H20" i="1"/>
  <c r="G20" i="1"/>
  <c r="E8" i="1"/>
  <c r="F16" i="1"/>
  <c r="K16" i="1"/>
  <c r="K24" i="1"/>
  <c r="K26" i="1"/>
  <c r="F20" i="1"/>
  <c r="F22" i="1"/>
  <c r="F18" i="1"/>
  <c r="H16" i="1"/>
  <c r="H18" i="1"/>
  <c r="G16" i="1"/>
  <c r="C16" i="1"/>
  <c r="C18" i="1"/>
  <c r="E16" i="1"/>
  <c r="F8" i="1"/>
  <c r="D20" i="3"/>
  <c r="D19" i="3"/>
  <c r="D18" i="3"/>
  <c r="D16" i="3"/>
  <c r="D15" i="3"/>
  <c r="D14" i="3"/>
  <c r="D22" i="3"/>
  <c r="D12" i="3"/>
  <c r="D11" i="3"/>
  <c r="D10" i="3"/>
  <c r="D8" i="3"/>
  <c r="D24" i="3"/>
  <c r="D7" i="3"/>
  <c r="D23" i="3"/>
  <c r="E17" i="1"/>
  <c r="D21" i="1"/>
  <c r="D17" i="1"/>
  <c r="C17" i="1"/>
  <c r="D13" i="1"/>
  <c r="D9" i="1"/>
  <c r="E21" i="1"/>
  <c r="E13" i="1"/>
  <c r="E9" i="1"/>
  <c r="G21" i="1"/>
  <c r="G17" i="1"/>
  <c r="G13" i="1"/>
  <c r="G9" i="1"/>
  <c r="I21" i="1"/>
  <c r="I17" i="1"/>
  <c r="J17" i="1"/>
  <c r="K17" i="1"/>
  <c r="J16" i="1"/>
  <c r="J18" i="1"/>
  <c r="I16" i="1"/>
  <c r="H22" i="1"/>
  <c r="H12" i="1"/>
  <c r="H8" i="1"/>
  <c r="H24" i="1"/>
  <c r="H26" i="1"/>
  <c r="G12" i="1"/>
  <c r="G8" i="1"/>
  <c r="F12" i="1"/>
  <c r="E20" i="1"/>
  <c r="E12" i="1"/>
  <c r="C12" i="1"/>
  <c r="D24" i="1"/>
  <c r="D26" i="1"/>
  <c r="I8" i="1"/>
  <c r="I12" i="1"/>
  <c r="K25" i="1"/>
  <c r="J24" i="1"/>
  <c r="J25" i="1"/>
  <c r="I24" i="1"/>
  <c r="I25" i="1"/>
  <c r="I26" i="1"/>
  <c r="H25" i="1"/>
  <c r="G24" i="1"/>
  <c r="G25" i="1"/>
  <c r="G26" i="1"/>
  <c r="F25" i="1"/>
  <c r="E24" i="1"/>
  <c r="E25" i="1"/>
  <c r="E26" i="1"/>
  <c r="D25" i="1"/>
  <c r="C9" i="1"/>
  <c r="C25" i="1"/>
  <c r="C13" i="1"/>
  <c r="C21" i="1"/>
  <c r="K22" i="1"/>
  <c r="J22" i="1"/>
  <c r="I22" i="1"/>
  <c r="G22" i="1"/>
  <c r="E22" i="1"/>
  <c r="K18" i="1"/>
  <c r="I18" i="1"/>
  <c r="G18" i="1"/>
  <c r="E18" i="1"/>
  <c r="K14" i="1"/>
  <c r="J14" i="1"/>
  <c r="I14" i="1"/>
  <c r="G14" i="1"/>
  <c r="E14" i="1"/>
  <c r="D14" i="1"/>
  <c r="K10" i="1"/>
  <c r="J10" i="1"/>
  <c r="I10" i="1"/>
  <c r="H10" i="1"/>
  <c r="G10" i="1"/>
  <c r="F10" i="1"/>
  <c r="E10" i="1"/>
  <c r="D10" i="1"/>
  <c r="J26" i="1"/>
  <c r="C20" i="1"/>
  <c r="C22" i="1"/>
  <c r="C8" i="1"/>
  <c r="C10" i="1"/>
  <c r="F14" i="1"/>
  <c r="H14" i="1"/>
  <c r="D18" i="1"/>
  <c r="D22" i="1"/>
  <c r="F24" i="1"/>
  <c r="F26" i="1"/>
  <c r="C14" i="1"/>
  <c r="C24" i="1"/>
  <c r="C26" i="1"/>
</calcChain>
</file>

<file path=xl/sharedStrings.xml><?xml version="1.0" encoding="utf-8"?>
<sst xmlns="http://schemas.openxmlformats.org/spreadsheetml/2006/main" count="84" uniqueCount="44">
  <si>
    <t>lautakunta</t>
  </si>
  <si>
    <t>palvelut</t>
  </si>
  <si>
    <t>velut</t>
  </si>
  <si>
    <t xml:space="preserve">1. Lasten ja nuorten kasvun </t>
  </si>
  <si>
    <t>tukeminen</t>
  </si>
  <si>
    <t>4. Ikäihmisten elämänlaadun</t>
  </si>
  <si>
    <t>turvaaminen</t>
  </si>
  <si>
    <t>Yhteensä ydinprosesseille</t>
  </si>
  <si>
    <t xml:space="preserve">2. Nuorten aikuisuuden </t>
  </si>
  <si>
    <t>vahvistaminen</t>
  </si>
  <si>
    <t xml:space="preserve">3. Itsenäisesti selviytyvien </t>
  </si>
  <si>
    <t>toimintakyvyn varmistaminen</t>
  </si>
  <si>
    <t>ME</t>
  </si>
  <si>
    <t>TU</t>
  </si>
  <si>
    <t>NE</t>
  </si>
  <si>
    <t>Peruspalvelu-</t>
  </si>
  <si>
    <t>Peruspalvelultk</t>
  </si>
  <si>
    <t>ja hallintopalvelut</t>
  </si>
  <si>
    <t>Sosiaalityön</t>
  </si>
  <si>
    <t xml:space="preserve"> palvelut</t>
  </si>
  <si>
    <t>Perustervey-</t>
  </si>
  <si>
    <t>denh. palvelut</t>
  </si>
  <si>
    <t>Erikoissairaan-</t>
  </si>
  <si>
    <t>hoidon palvelut</t>
  </si>
  <si>
    <t>Kuntoutumis-</t>
  </si>
  <si>
    <t>Vanhuspalvelut</t>
  </si>
  <si>
    <t>Ympäristöter-</t>
  </si>
  <si>
    <t>veydenhuollon</t>
  </si>
  <si>
    <t>Työterveys-</t>
  </si>
  <si>
    <t>huollon pal-</t>
  </si>
  <si>
    <t>TALOUSARVION 2012 JAKO YDINPROSESSEILLE</t>
  </si>
  <si>
    <t>Yhteensopivuusraportti: TAE 2012 jako ydinprosesseille - koonti 13092011 päätös.xls</t>
  </si>
  <si>
    <t>Suorita kohteessa: 23.9.2011 12:59</t>
  </si>
  <si>
    <t>Seuraavia tämän työkirjan ominaisuuksia ei tueta Excelin aiemmissa versioissa. Nämä ominaisuudet menetetään tai niistä otetaan käyttöön rajoitettu muoto, jos työkirja tallennetaan aiemmassa tiedostomuodossa.</t>
  </si>
  <si>
    <t>Vähäinen laadun menetys</t>
  </si>
  <si>
    <t>Esiintymien määrä</t>
  </si>
  <si>
    <t>Versio</t>
  </si>
  <si>
    <t>Jotkin tämän työkirjan kaavat on linkitetty toisiin, suljettuihin työkirjoihin. Kun nämä kaavat lasketaan uudelleen Excelin aiemmissa versioissa avaamatta linkitettyjä työkirjoja, palautetaan vain 255 merkkiä.</t>
  </si>
  <si>
    <t>TAE 2012'!D8:I8</t>
  </si>
  <si>
    <t>TAE 2012'!D12:I12</t>
  </si>
  <si>
    <t>TAE 2012'!D16:K16</t>
  </si>
  <si>
    <t>TAE 2012'!D20:I20</t>
  </si>
  <si>
    <t>Excel 97-2003</t>
  </si>
  <si>
    <t>pp 30122011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</si>
</sst>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\ %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</font>
    <font>
      <b/>
      <sz val="10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2" xfId="0" quotePrefix="1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3" fontId="0" fillId="0" borderId="1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0" fillId="0" borderId="6" xfId="0" applyNumberFormat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3" fontId="0" fillId="0" borderId="7" xfId="0" applyNumberForma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3" fontId="0" fillId="0" borderId="4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7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10" xfId="0" applyNumberFormat="1" applyBorder="1" applyAlignment="1">
      <alignment vertical="top" wrapText="1"/>
    </xf>
    <xf numFmtId="0" fontId="0" fillId="0" borderId="11" xfId="0" applyNumberFormat="1" applyBorder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8" fillId="0" borderId="0" xfId="1" quotePrefix="1" applyNumberFormat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0" fillId="0" borderId="13" xfId="0" applyNumberFormat="1" applyBorder="1" applyAlignment="1">
      <alignment horizontal="center" vertical="top" wrapText="1"/>
    </xf>
    <xf numFmtId="0" fontId="8" fillId="0" borderId="13" xfId="1" quotePrefix="1" applyNumberFormat="1" applyBorder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165" fontId="0" fillId="0" borderId="1" xfId="2" applyNumberFormat="1" applyFont="1" applyBorder="1"/>
    <xf numFmtId="165" fontId="0" fillId="0" borderId="4" xfId="2" applyNumberFormat="1" applyFont="1" applyBorder="1"/>
    <xf numFmtId="165" fontId="0" fillId="0" borderId="5" xfId="2" applyNumberFormat="1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</cellXfs>
  <cellStyles count="3">
    <cellStyle name="Hyperlinkki" xfId="1" builtinId="8"/>
    <cellStyle name="Normaali" xfId="0" builtinId="0"/>
    <cellStyle name="Prosentti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Te\SoTeSuunnittelu\Talouden%20ja%20toiminnan%20suunnittelu%20ja%20seuranta\TA%202011%20jako%20ydinprosesseille\ydinprosessien%20jakotaulukko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Te\Talouden%20ja%20toiminnan%20seuranta\Seuranta%202010\TA2012%20jako%20ydinprosesseille\ydinprosessien%20jakotaulukko_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te menot yhteensä"/>
      <sheetName val="virasto"/>
      <sheetName val="Sos"/>
      <sheetName val="pth"/>
      <sheetName val="esh"/>
      <sheetName val="kunt"/>
      <sheetName val="vanh"/>
      <sheetName val="ymppi"/>
      <sheetName val="työterv"/>
      <sheetName val="Taul2"/>
      <sheetName val="Taul3"/>
    </sheetNames>
    <sheetDataSet>
      <sheetData sheetId="0" refreshError="1">
        <row r="41">
          <cell r="B41">
            <v>0</v>
          </cell>
          <cell r="C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te menot yhteensä"/>
      <sheetName val="virasto"/>
      <sheetName val="Sos"/>
      <sheetName val="pth"/>
      <sheetName val="esh"/>
      <sheetName val="kunt"/>
      <sheetName val="vanh"/>
      <sheetName val="ymppi"/>
      <sheetName val="työterv"/>
      <sheetName val="Taul2"/>
      <sheetName val="Taul3"/>
    </sheetNames>
    <sheetDataSet>
      <sheetData sheetId="0">
        <row r="6">
          <cell r="B6">
            <v>8052617.5410000011</v>
          </cell>
          <cell r="C6">
            <v>3859672.443</v>
          </cell>
          <cell r="D6">
            <v>24728070.905999999</v>
          </cell>
          <cell r="E6">
            <v>28129816.109999999</v>
          </cell>
        </row>
        <row r="8">
          <cell r="B8">
            <v>32519820</v>
          </cell>
          <cell r="C8">
            <v>9881786</v>
          </cell>
          <cell r="D8">
            <v>40439689</v>
          </cell>
          <cell r="E8">
            <v>2878475</v>
          </cell>
        </row>
        <row r="14">
          <cell r="B14">
            <v>12379764.873665782</v>
          </cell>
          <cell r="C14">
            <v>4839163.094850379</v>
          </cell>
          <cell r="D14">
            <v>21485380.141273521</v>
          </cell>
          <cell r="E14">
            <v>11583855.066410314</v>
          </cell>
        </row>
        <row r="25">
          <cell r="B25">
            <v>20278258.894400001</v>
          </cell>
          <cell r="C25">
            <v>10796174.827199999</v>
          </cell>
          <cell r="D25">
            <v>92470393.70480001</v>
          </cell>
          <cell r="E25">
            <v>68893088.9736</v>
          </cell>
        </row>
        <row r="33">
          <cell r="B33">
            <v>8324558.2213178584</v>
          </cell>
          <cell r="C33">
            <v>6572598.9443464223</v>
          </cell>
          <cell r="D33">
            <v>38334982.189561784</v>
          </cell>
          <cell r="E33">
            <v>6160248.8390599359</v>
          </cell>
        </row>
        <row r="41">
          <cell r="D41">
            <v>6082615</v>
          </cell>
          <cell r="E41">
            <v>145982755</v>
          </cell>
        </row>
        <row r="47">
          <cell r="D47">
            <v>1491664</v>
          </cell>
        </row>
        <row r="49">
          <cell r="D49">
            <v>6605004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zoomScale="90" zoomScaleNormal="90" workbookViewId="0">
      <selection activeCell="A29" sqref="A29"/>
    </sheetView>
  </sheetViews>
  <sheetFormatPr defaultRowHeight="12.75" x14ac:dyDescent="0.2"/>
  <cols>
    <col min="1" max="1" width="28" customWidth="1"/>
    <col min="2" max="2" width="4.42578125" style="11" customWidth="1"/>
    <col min="3" max="3" width="16.42578125" style="11" customWidth="1"/>
    <col min="4" max="4" width="17.140625" style="11" customWidth="1"/>
    <col min="5" max="5" width="13.5703125" style="11" customWidth="1"/>
    <col min="6" max="6" width="13.28515625" style="11" customWidth="1"/>
    <col min="7" max="7" width="14.140625" style="11" customWidth="1"/>
    <col min="8" max="8" width="13.7109375" style="11" customWidth="1"/>
    <col min="9" max="9" width="14.5703125" style="11" customWidth="1"/>
    <col min="10" max="10" width="13.42578125" style="11" customWidth="1"/>
    <col min="11" max="11" width="12.85546875" style="11" customWidth="1"/>
  </cols>
  <sheetData>
    <row r="2" spans="1:11" x14ac:dyDescent="0.2">
      <c r="A2" s="11" t="s">
        <v>43</v>
      </c>
    </row>
    <row r="3" spans="1:11" x14ac:dyDescent="0.2">
      <c r="A3" s="1" t="s">
        <v>30</v>
      </c>
      <c r="B3" s="7"/>
      <c r="C3" s="12"/>
      <c r="D3" s="12"/>
      <c r="E3" s="13"/>
      <c r="F3" s="14"/>
      <c r="G3" s="15"/>
      <c r="H3" s="14"/>
      <c r="I3" s="16"/>
      <c r="J3" s="17"/>
      <c r="K3" s="12"/>
    </row>
    <row r="4" spans="1:11" x14ac:dyDescent="0.2">
      <c r="A4" s="2"/>
      <c r="B4" s="8"/>
      <c r="C4" s="8" t="s">
        <v>15</v>
      </c>
      <c r="D4" s="18" t="s">
        <v>16</v>
      </c>
      <c r="E4" s="18" t="s">
        <v>18</v>
      </c>
      <c r="F4" s="19" t="s">
        <v>20</v>
      </c>
      <c r="G4" s="18" t="s">
        <v>22</v>
      </c>
      <c r="H4" s="19" t="s">
        <v>24</v>
      </c>
      <c r="I4" s="18" t="s">
        <v>25</v>
      </c>
      <c r="J4" s="20" t="s">
        <v>26</v>
      </c>
      <c r="K4" s="8" t="s">
        <v>28</v>
      </c>
    </row>
    <row r="5" spans="1:11" x14ac:dyDescent="0.2">
      <c r="A5" s="2"/>
      <c r="B5" s="8"/>
      <c r="C5" s="8" t="s">
        <v>0</v>
      </c>
      <c r="D5" s="18" t="s">
        <v>17</v>
      </c>
      <c r="E5" s="8" t="s">
        <v>19</v>
      </c>
      <c r="F5" s="21" t="s">
        <v>21</v>
      </c>
      <c r="G5" s="8" t="s">
        <v>23</v>
      </c>
      <c r="H5" s="21" t="s">
        <v>1</v>
      </c>
      <c r="I5" s="8"/>
      <c r="J5" s="21" t="s">
        <v>27</v>
      </c>
      <c r="K5" s="8" t="s">
        <v>29</v>
      </c>
    </row>
    <row r="6" spans="1:11" x14ac:dyDescent="0.2">
      <c r="A6" s="3"/>
      <c r="B6" s="9"/>
      <c r="C6" s="22"/>
      <c r="D6" s="23"/>
      <c r="E6" s="9"/>
      <c r="F6" s="9"/>
      <c r="G6" s="9"/>
      <c r="H6" s="24"/>
      <c r="I6" s="9"/>
      <c r="J6" s="24" t="s">
        <v>1</v>
      </c>
      <c r="K6" s="9" t="s">
        <v>2</v>
      </c>
    </row>
    <row r="7" spans="1:11" x14ac:dyDescent="0.2">
      <c r="A7" s="4"/>
      <c r="B7" s="10"/>
      <c r="C7" s="35"/>
      <c r="D7" s="25"/>
      <c r="E7" s="26"/>
      <c r="F7" s="27"/>
      <c r="G7" s="26"/>
      <c r="H7" s="27"/>
      <c r="I7" s="26"/>
      <c r="J7" s="28"/>
      <c r="K7" s="25"/>
    </row>
    <row r="8" spans="1:11" x14ac:dyDescent="0.2">
      <c r="A8" s="2" t="s">
        <v>3</v>
      </c>
      <c r="B8" s="8" t="s">
        <v>12</v>
      </c>
      <c r="C8" s="33">
        <f>SUM(D8:K8)</f>
        <v>81971311.896383643</v>
      </c>
      <c r="D8" s="29">
        <f>'[2]Sote menot yhteensä'!$B$6+300000+(0.133*849702)</f>
        <v>8465627.9070000015</v>
      </c>
      <c r="E8" s="29">
        <f>'[2]Sote menot yhteensä'!B$8+1-(0.5*0.02*229000)+3281</f>
        <v>32520812</v>
      </c>
      <c r="F8" s="29">
        <f>'[2]Sote menot yhteensä'!$B$14+(0.5*0.02*229000)</f>
        <v>12382054.873665782</v>
      </c>
      <c r="G8" s="29">
        <f>'[2]Sote menot yhteensä'!$B$25</f>
        <v>20278258.894400001</v>
      </c>
      <c r="H8" s="29">
        <f>'[2]Sote menot yhteensä'!$B$33</f>
        <v>8324558.2213178584</v>
      </c>
      <c r="I8" s="29">
        <f>'[1]Sote menot yhteensä'!$B$41</f>
        <v>0</v>
      </c>
      <c r="J8" s="29">
        <v>0</v>
      </c>
      <c r="K8" s="29">
        <v>0</v>
      </c>
    </row>
    <row r="9" spans="1:11" x14ac:dyDescent="0.2">
      <c r="A9" s="2" t="s">
        <v>4</v>
      </c>
      <c r="B9" s="8" t="s">
        <v>13</v>
      </c>
      <c r="C9" s="33">
        <f>SUM(D9:K9)</f>
        <v>9960596.3307061363</v>
      </c>
      <c r="D9" s="29">
        <f>0.133*2093452</f>
        <v>278429.11600000004</v>
      </c>
      <c r="E9" s="29">
        <f>0.379*18559528</f>
        <v>7034061.1119999997</v>
      </c>
      <c r="F9" s="29">
        <v>2020515.6515568553</v>
      </c>
      <c r="G9" s="29">
        <f>0.105*4437856</f>
        <v>465974.88</v>
      </c>
      <c r="H9" s="29">
        <v>161615.57114928082</v>
      </c>
      <c r="I9" s="29">
        <v>0</v>
      </c>
      <c r="J9" s="29">
        <v>0</v>
      </c>
      <c r="K9" s="29">
        <v>0</v>
      </c>
    </row>
    <row r="10" spans="1:11" x14ac:dyDescent="0.2">
      <c r="A10" s="3"/>
      <c r="B10" s="9" t="s">
        <v>14</v>
      </c>
      <c r="C10" s="34">
        <f t="shared" ref="C10:K10" si="0">+C8-C9</f>
        <v>72010715.565677509</v>
      </c>
      <c r="D10" s="30">
        <f t="shared" si="0"/>
        <v>8187198.7910000011</v>
      </c>
      <c r="E10" s="30">
        <f t="shared" si="0"/>
        <v>25486750.888</v>
      </c>
      <c r="F10" s="30">
        <f t="shared" si="0"/>
        <v>10361539.222108927</v>
      </c>
      <c r="G10" s="30">
        <f t="shared" si="0"/>
        <v>19812284.014400002</v>
      </c>
      <c r="H10" s="30">
        <f t="shared" si="0"/>
        <v>8162942.6501685772</v>
      </c>
      <c r="I10" s="30">
        <f t="shared" si="0"/>
        <v>0</v>
      </c>
      <c r="J10" s="30">
        <f t="shared" si="0"/>
        <v>0</v>
      </c>
      <c r="K10" s="30">
        <f t="shared" si="0"/>
        <v>0</v>
      </c>
    </row>
    <row r="11" spans="1:11" x14ac:dyDescent="0.2">
      <c r="A11" s="2"/>
      <c r="B11" s="8"/>
      <c r="C11" s="33"/>
      <c r="D11" s="29"/>
      <c r="E11" s="29"/>
      <c r="F11" s="29"/>
      <c r="G11" s="29"/>
      <c r="H11" s="29"/>
      <c r="I11" s="29"/>
      <c r="J11" s="29"/>
      <c r="K11" s="29"/>
    </row>
    <row r="12" spans="1:11" x14ac:dyDescent="0.2">
      <c r="A12" s="2" t="s">
        <v>8</v>
      </c>
      <c r="B12" s="8" t="s">
        <v>12</v>
      </c>
      <c r="C12" s="33">
        <f>SUM(D12:K12)</f>
        <v>35999527.727396801</v>
      </c>
      <c r="D12" s="29">
        <f>'[2]Sote menot yhteensä'!$C$6+(0.059*849702)</f>
        <v>3909804.861</v>
      </c>
      <c r="E12" s="29">
        <f>'[2]Sote menot yhteensä'!C$8</f>
        <v>9881786</v>
      </c>
      <c r="F12" s="29">
        <f>'[2]Sote menot yhteensä'!$C$14</f>
        <v>4839163.094850379</v>
      </c>
      <c r="G12" s="29">
        <f>'[2]Sote menot yhteensä'!$C$25</f>
        <v>10796174.827199999</v>
      </c>
      <c r="H12" s="29">
        <f>'[2]Sote menot yhteensä'!$C$33</f>
        <v>6572598.9443464223</v>
      </c>
      <c r="I12" s="29">
        <f>'[1]Sote menot yhteensä'!$C$41</f>
        <v>0</v>
      </c>
      <c r="J12" s="29">
        <v>0</v>
      </c>
      <c r="K12" s="29">
        <v>0</v>
      </c>
    </row>
    <row r="13" spans="1:11" x14ac:dyDescent="0.2">
      <c r="A13" s="2" t="s">
        <v>9</v>
      </c>
      <c r="B13" s="8" t="s">
        <v>13</v>
      </c>
      <c r="C13" s="33">
        <f>SUM(D13:K13)</f>
        <v>3594036.2512072665</v>
      </c>
      <c r="D13" s="29">
        <f>0.059*2093452</f>
        <v>123513.66799999999</v>
      </c>
      <c r="E13" s="29">
        <f>0.115*18559528</f>
        <v>2134345.7200000002</v>
      </c>
      <c r="F13" s="29">
        <v>632955.88515158766</v>
      </c>
      <c r="G13" s="29">
        <f>0.056*4437856</f>
        <v>248519.93600000002</v>
      </c>
      <c r="H13" s="29">
        <v>454701.04205567861</v>
      </c>
      <c r="I13" s="29">
        <v>0</v>
      </c>
      <c r="J13" s="29">
        <v>0</v>
      </c>
      <c r="K13" s="29">
        <v>0</v>
      </c>
    </row>
    <row r="14" spans="1:11" x14ac:dyDescent="0.2">
      <c r="A14" s="3"/>
      <c r="B14" s="9" t="s">
        <v>14</v>
      </c>
      <c r="C14" s="34">
        <f>+C12-C13</f>
        <v>32405491.476189535</v>
      </c>
      <c r="D14" s="30">
        <f t="shared" ref="D14:K14" si="1">D12-D13</f>
        <v>3786291.193</v>
      </c>
      <c r="E14" s="30">
        <f t="shared" si="1"/>
        <v>7747440.2799999993</v>
      </c>
      <c r="F14" s="30">
        <f t="shared" si="1"/>
        <v>4206207.2096987916</v>
      </c>
      <c r="G14" s="30">
        <f t="shared" si="1"/>
        <v>10547654.891199999</v>
      </c>
      <c r="H14" s="30">
        <f t="shared" si="1"/>
        <v>6117897.9022907438</v>
      </c>
      <c r="I14" s="30">
        <f t="shared" si="1"/>
        <v>0</v>
      </c>
      <c r="J14" s="30">
        <f t="shared" si="1"/>
        <v>0</v>
      </c>
      <c r="K14" s="30">
        <f t="shared" si="1"/>
        <v>0</v>
      </c>
    </row>
    <row r="15" spans="1:11" x14ac:dyDescent="0.2">
      <c r="A15" s="2"/>
      <c r="B15" s="8"/>
      <c r="C15" s="33"/>
      <c r="D15" s="29"/>
      <c r="E15" s="29"/>
      <c r="F15" s="29"/>
      <c r="G15" s="29"/>
      <c r="H15" s="29"/>
      <c r="I15" s="29"/>
      <c r="J15" s="29"/>
      <c r="K15" s="29"/>
    </row>
    <row r="16" spans="1:11" x14ac:dyDescent="0.2">
      <c r="A16" s="2" t="s">
        <v>10</v>
      </c>
      <c r="B16" s="8" t="s">
        <v>12</v>
      </c>
      <c r="C16" s="33">
        <f>SUM(D16:K16)</f>
        <v>231958136.59563532</v>
      </c>
      <c r="D16" s="29">
        <f>'[2]Sote menot yhteensä'!$D$6+(0.377*849702)</f>
        <v>25048408.559999999</v>
      </c>
      <c r="E16" s="29">
        <f>'[2]Sote menot yhteensä'!D$8-(0.5*0.02*229000)</f>
        <v>40437399</v>
      </c>
      <c r="F16" s="29">
        <f>'[2]Sote menot yhteensä'!$D$14+(0.5*0.02*229000)+(0.5*0.3*229000)+(0.03*229000)+(0.05*229000)</f>
        <v>21540340.141273521</v>
      </c>
      <c r="G16" s="29">
        <f>'[2]Sote menot yhteensä'!$D$25-(0.5*0.3*229000)</f>
        <v>92436043.70480001</v>
      </c>
      <c r="H16" s="29">
        <f>'[2]Sote menot yhteensä'!$D$33-(0.03*229000)</f>
        <v>38328112.189561784</v>
      </c>
      <c r="I16" s="29">
        <f>'[2]Sote menot yhteensä'!$D$41</f>
        <v>6082615</v>
      </c>
      <c r="J16" s="29">
        <f>'[2]Sote menot yhteensä'!$D$47</f>
        <v>1491664</v>
      </c>
      <c r="K16" s="29">
        <f>'[2]Sote menot yhteensä'!$D$49-(0.05*229000)</f>
        <v>6593554</v>
      </c>
    </row>
    <row r="17" spans="1:11" x14ac:dyDescent="0.2">
      <c r="A17" s="2" t="s">
        <v>11</v>
      </c>
      <c r="B17" s="8" t="s">
        <v>13</v>
      </c>
      <c r="C17" s="33">
        <f>SUM(D17:K17)</f>
        <v>25885032.163912162</v>
      </c>
      <c r="D17" s="29">
        <f>0.378*2093452</f>
        <v>791324.85600000003</v>
      </c>
      <c r="E17" s="29">
        <f>0.472*18559528-5100</f>
        <v>8754997.216</v>
      </c>
      <c r="F17" s="29">
        <v>3950360.9792122804</v>
      </c>
      <c r="G17" s="29">
        <f>0.481*4437856</f>
        <v>2134608.736</v>
      </c>
      <c r="H17" s="29">
        <v>1882253.296699882</v>
      </c>
      <c r="I17" s="29">
        <f>0.04*35993802</f>
        <v>1439752.08</v>
      </c>
      <c r="J17" s="29">
        <f>1*482600</f>
        <v>482600</v>
      </c>
      <c r="K17" s="29">
        <f>1*6449135</f>
        <v>6449135</v>
      </c>
    </row>
    <row r="18" spans="1:11" x14ac:dyDescent="0.2">
      <c r="A18" s="3"/>
      <c r="B18" s="9" t="s">
        <v>14</v>
      </c>
      <c r="C18" s="34">
        <f>+C16-C17</f>
        <v>206073104.43172318</v>
      </c>
      <c r="D18" s="30">
        <f t="shared" ref="D18:K18" si="2">D16-D17</f>
        <v>24257083.704</v>
      </c>
      <c r="E18" s="30">
        <f t="shared" si="2"/>
        <v>31682401.784000002</v>
      </c>
      <c r="F18" s="30">
        <f t="shared" si="2"/>
        <v>17589979.162061241</v>
      </c>
      <c r="G18" s="30">
        <f t="shared" si="2"/>
        <v>90301434.968800008</v>
      </c>
      <c r="H18" s="30">
        <f t="shared" si="2"/>
        <v>36445858.892861903</v>
      </c>
      <c r="I18" s="30">
        <f t="shared" si="2"/>
        <v>4642862.92</v>
      </c>
      <c r="J18" s="30">
        <f t="shared" si="2"/>
        <v>1009064</v>
      </c>
      <c r="K18" s="30">
        <f t="shared" si="2"/>
        <v>144419</v>
      </c>
    </row>
    <row r="19" spans="1:11" x14ac:dyDescent="0.2">
      <c r="A19" s="2"/>
      <c r="B19" s="8"/>
      <c r="C19" s="33"/>
      <c r="D19" s="29"/>
      <c r="E19" s="29"/>
      <c r="F19" s="29"/>
      <c r="G19" s="29"/>
      <c r="H19" s="29"/>
      <c r="I19" s="29"/>
      <c r="J19" s="29"/>
      <c r="K19" s="29"/>
    </row>
    <row r="20" spans="1:11" x14ac:dyDescent="0.2">
      <c r="A20" s="2" t="s">
        <v>5</v>
      </c>
      <c r="B20" s="8" t="s">
        <v>12</v>
      </c>
      <c r="C20" s="33">
        <f>SUM(D20:K20)</f>
        <v>264761180.55107024</v>
      </c>
      <c r="D20" s="29">
        <f>'[2]Sote menot yhteensä'!$E$6+700000+(0.431*849702)+1</f>
        <v>29196038.671999998</v>
      </c>
      <c r="E20" s="29">
        <f>'[2]Sote menot yhteensä'!E$8</f>
        <v>2878475</v>
      </c>
      <c r="F20" s="29">
        <f>'[2]Sote menot yhteensä'!$E$14+(0.5*0.3*229000)+(0.3*229000)</f>
        <v>11686905.066410314</v>
      </c>
      <c r="G20" s="29">
        <f>'[2]Sote menot yhteensä'!$E$25-(0.5*0.3*229000)+8193</f>
        <v>68866931.9736</v>
      </c>
      <c r="H20" s="29">
        <f>'[2]Sote menot yhteensä'!$E$33+1632</f>
        <v>6161880.8390599359</v>
      </c>
      <c r="I20" s="29">
        <f>'[2]Sote menot yhteensä'!$E$41-(0.3*229000)+56894</f>
        <v>145970949</v>
      </c>
      <c r="J20" s="29">
        <v>0</v>
      </c>
      <c r="K20" s="29">
        <v>0</v>
      </c>
    </row>
    <row r="21" spans="1:11" x14ac:dyDescent="0.2">
      <c r="A21" s="2" t="s">
        <v>6</v>
      </c>
      <c r="B21" s="8" t="s">
        <v>13</v>
      </c>
      <c r="C21" s="33">
        <f>SUM(D21:K21)</f>
        <v>40294788.554174438</v>
      </c>
      <c r="D21" s="29">
        <f>0.43*2093452</f>
        <v>900184.36</v>
      </c>
      <c r="E21" s="29">
        <f>0.034*18559528</f>
        <v>631023.95200000005</v>
      </c>
      <c r="F21" s="29">
        <v>2450718.7840792765</v>
      </c>
      <c r="G21" s="29">
        <f>0.358*4437856</f>
        <v>1588752.4479999999</v>
      </c>
      <c r="H21" s="29">
        <v>170059.09009515832</v>
      </c>
      <c r="I21" s="29">
        <f>0.96*35993802</f>
        <v>34554049.920000002</v>
      </c>
      <c r="J21" s="29">
        <v>0</v>
      </c>
      <c r="K21" s="29">
        <v>0</v>
      </c>
    </row>
    <row r="22" spans="1:11" x14ac:dyDescent="0.2">
      <c r="A22" s="3"/>
      <c r="B22" s="9" t="s">
        <v>14</v>
      </c>
      <c r="C22" s="34">
        <f>+C20-C21</f>
        <v>224466391.99689579</v>
      </c>
      <c r="D22" s="30">
        <f t="shared" ref="D22:K22" si="3">D20-D21</f>
        <v>28295854.311999999</v>
      </c>
      <c r="E22" s="30">
        <f t="shared" si="3"/>
        <v>2247451.048</v>
      </c>
      <c r="F22" s="30">
        <f t="shared" si="3"/>
        <v>9236186.2823310383</v>
      </c>
      <c r="G22" s="30">
        <f t="shared" si="3"/>
        <v>67278179.525600001</v>
      </c>
      <c r="H22" s="30">
        <f t="shared" si="3"/>
        <v>5991821.7489647772</v>
      </c>
      <c r="I22" s="30">
        <f t="shared" si="3"/>
        <v>111416899.08</v>
      </c>
      <c r="J22" s="30">
        <f t="shared" si="3"/>
        <v>0</v>
      </c>
      <c r="K22" s="30">
        <f t="shared" si="3"/>
        <v>0</v>
      </c>
    </row>
    <row r="23" spans="1:11" x14ac:dyDescent="0.2">
      <c r="A23" s="2"/>
      <c r="B23" s="8"/>
      <c r="C23" s="33"/>
      <c r="D23" s="31"/>
      <c r="E23" s="31"/>
      <c r="F23" s="31"/>
      <c r="G23" s="31"/>
      <c r="H23" s="31"/>
      <c r="I23" s="31"/>
      <c r="J23" s="31"/>
      <c r="K23" s="32"/>
    </row>
    <row r="24" spans="1:11" x14ac:dyDescent="0.2">
      <c r="A24" s="2" t="s">
        <v>7</v>
      </c>
      <c r="B24" s="8" t="s">
        <v>12</v>
      </c>
      <c r="C24" s="33">
        <f>+C8+C12+C16+C20-1</f>
        <v>614690155.770486</v>
      </c>
      <c r="D24" s="33">
        <f t="shared" ref="D24:K24" si="4">+D8+D12+D16+D20</f>
        <v>66619880</v>
      </c>
      <c r="E24" s="33">
        <f t="shared" si="4"/>
        <v>85718472</v>
      </c>
      <c r="F24" s="33">
        <f t="shared" si="4"/>
        <v>50448463.176200002</v>
      </c>
      <c r="G24" s="33">
        <f t="shared" si="4"/>
        <v>192377409.40000001</v>
      </c>
      <c r="H24" s="33">
        <f t="shared" si="4"/>
        <v>59387150.194286004</v>
      </c>
      <c r="I24" s="33">
        <f t="shared" si="4"/>
        <v>152053564</v>
      </c>
      <c r="J24" s="33">
        <f t="shared" si="4"/>
        <v>1491664</v>
      </c>
      <c r="K24" s="33">
        <f t="shared" si="4"/>
        <v>6593554</v>
      </c>
    </row>
    <row r="25" spans="1:11" x14ac:dyDescent="0.2">
      <c r="A25" s="5"/>
      <c r="B25" s="8" t="s">
        <v>13</v>
      </c>
      <c r="C25" s="33">
        <f>+C9+C13+C17+C21-1</f>
        <v>79734452.300000012</v>
      </c>
      <c r="D25" s="33">
        <f t="shared" ref="D25:K25" si="5">+D9+D13+D17+D21</f>
        <v>2093452</v>
      </c>
      <c r="E25" s="33">
        <f t="shared" si="5"/>
        <v>18554428</v>
      </c>
      <c r="F25" s="33">
        <f t="shared" si="5"/>
        <v>9054551.2999999989</v>
      </c>
      <c r="G25" s="33">
        <f t="shared" si="5"/>
        <v>4437856</v>
      </c>
      <c r="H25" s="33">
        <f t="shared" si="5"/>
        <v>2668628.9999999995</v>
      </c>
      <c r="I25" s="33">
        <f t="shared" si="5"/>
        <v>35993802</v>
      </c>
      <c r="J25" s="33">
        <f t="shared" si="5"/>
        <v>482600</v>
      </c>
      <c r="K25" s="33">
        <f t="shared" si="5"/>
        <v>6449135</v>
      </c>
    </row>
    <row r="26" spans="1:11" x14ac:dyDescent="0.2">
      <c r="A26" s="6"/>
      <c r="B26" s="9" t="s">
        <v>14</v>
      </c>
      <c r="C26" s="34">
        <f t="shared" ref="C26:K26" si="6">+C24-C25</f>
        <v>534955703.47048599</v>
      </c>
      <c r="D26" s="34">
        <f t="shared" si="6"/>
        <v>64526428</v>
      </c>
      <c r="E26" s="34">
        <f t="shared" si="6"/>
        <v>67164044</v>
      </c>
      <c r="F26" s="34">
        <f t="shared" si="6"/>
        <v>41393911.876200005</v>
      </c>
      <c r="G26" s="34">
        <f t="shared" si="6"/>
        <v>187939553.40000001</v>
      </c>
      <c r="H26" s="34">
        <f t="shared" si="6"/>
        <v>56718521.194286004</v>
      </c>
      <c r="I26" s="34">
        <f t="shared" si="6"/>
        <v>116059762</v>
      </c>
      <c r="J26" s="34">
        <f t="shared" si="6"/>
        <v>1009064</v>
      </c>
      <c r="K26" s="34">
        <f t="shared" si="6"/>
        <v>144419</v>
      </c>
    </row>
  </sheetData>
  <phoneticPr fontId="6" type="noConversion"/>
  <pageMargins left="0.75" right="0.75" top="1" bottom="1" header="0.4921259845" footer="0.492125984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36" t="s">
        <v>31</v>
      </c>
      <c r="C1" s="36"/>
      <c r="D1" s="43"/>
      <c r="E1" s="43"/>
      <c r="F1" s="43"/>
    </row>
    <row r="2" spans="2:6" x14ac:dyDescent="0.2">
      <c r="B2" s="36" t="s">
        <v>32</v>
      </c>
      <c r="C2" s="36"/>
      <c r="D2" s="43"/>
      <c r="E2" s="43"/>
      <c r="F2" s="43"/>
    </row>
    <row r="3" spans="2:6" x14ac:dyDescent="0.2">
      <c r="B3" s="37"/>
      <c r="C3" s="37"/>
      <c r="D3" s="44"/>
      <c r="E3" s="44"/>
      <c r="F3" s="44"/>
    </row>
    <row r="4" spans="2:6" ht="38.25" x14ac:dyDescent="0.2">
      <c r="B4" s="37" t="s">
        <v>33</v>
      </c>
      <c r="C4" s="37"/>
      <c r="D4" s="44"/>
      <c r="E4" s="44"/>
      <c r="F4" s="44"/>
    </row>
    <row r="5" spans="2:6" x14ac:dyDescent="0.2">
      <c r="B5" s="37"/>
      <c r="C5" s="37"/>
      <c r="D5" s="44"/>
      <c r="E5" s="44"/>
      <c r="F5" s="44"/>
    </row>
    <row r="6" spans="2:6" ht="25.5" x14ac:dyDescent="0.2">
      <c r="B6" s="36" t="s">
        <v>34</v>
      </c>
      <c r="C6" s="36"/>
      <c r="D6" s="43"/>
      <c r="E6" s="43" t="s">
        <v>35</v>
      </c>
      <c r="F6" s="43" t="s">
        <v>36</v>
      </c>
    </row>
    <row r="7" spans="2:6" ht="13.5" thickBot="1" x14ac:dyDescent="0.25">
      <c r="B7" s="37"/>
      <c r="C7" s="37"/>
      <c r="D7" s="44"/>
      <c r="E7" s="44"/>
      <c r="F7" s="44"/>
    </row>
    <row r="8" spans="2:6" ht="38.25" x14ac:dyDescent="0.2">
      <c r="B8" s="38" t="s">
        <v>37</v>
      </c>
      <c r="C8" s="39"/>
      <c r="D8" s="45"/>
      <c r="E8" s="45">
        <v>26</v>
      </c>
      <c r="F8" s="46"/>
    </row>
    <row r="9" spans="2:6" x14ac:dyDescent="0.2">
      <c r="B9" s="40"/>
      <c r="C9" s="37"/>
      <c r="D9" s="44"/>
      <c r="E9" s="47" t="s">
        <v>38</v>
      </c>
      <c r="F9" s="48" t="s">
        <v>42</v>
      </c>
    </row>
    <row r="10" spans="2:6" ht="25.5" x14ac:dyDescent="0.2">
      <c r="B10" s="40"/>
      <c r="C10" s="37"/>
      <c r="D10" s="44"/>
      <c r="E10" s="47" t="s">
        <v>39</v>
      </c>
      <c r="F10" s="48"/>
    </row>
    <row r="11" spans="2:6" ht="25.5" x14ac:dyDescent="0.2">
      <c r="B11" s="40"/>
      <c r="C11" s="37"/>
      <c r="D11" s="44"/>
      <c r="E11" s="47" t="s">
        <v>40</v>
      </c>
      <c r="F11" s="48"/>
    </row>
    <row r="12" spans="2:6" ht="26.25" thickBot="1" x14ac:dyDescent="0.25">
      <c r="B12" s="41"/>
      <c r="C12" s="42"/>
      <c r="D12" s="49"/>
      <c r="E12" s="50" t="s">
        <v>41</v>
      </c>
      <c r="F12" s="51"/>
    </row>
    <row r="13" spans="2:6" x14ac:dyDescent="0.2">
      <c r="B13" s="37"/>
      <c r="C13" s="37"/>
      <c r="D13" s="44"/>
      <c r="E13" s="44"/>
      <c r="F13" s="44"/>
    </row>
  </sheetData>
  <hyperlinks>
    <hyperlink ref="E9" location="'TAE 2012'!D8:I8" display="'TAE 2012'!D8:I8"/>
    <hyperlink ref="E10" location="'TAE 2012'!D12:I12" display="'TAE 2012'!D12:I12"/>
    <hyperlink ref="E11" location="'TAE 2012'!D16:K16" display="'TAE 2012'!D16:K16"/>
    <hyperlink ref="E12" location="'TAE 2012'!D20:I20" display="'TAE 2012'!D20:I2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27" sqref="A27"/>
    </sheetView>
  </sheetViews>
  <sheetFormatPr defaultRowHeight="12.75" x14ac:dyDescent="0.2"/>
  <cols>
    <col min="1" max="1" width="28.7109375" customWidth="1"/>
    <col min="2" max="2" width="4.28515625" customWidth="1"/>
    <col min="3" max="3" width="13.5703125" customWidth="1"/>
  </cols>
  <sheetData>
    <row r="1" spans="1:4" x14ac:dyDescent="0.2">
      <c r="A1" s="1" t="s">
        <v>30</v>
      </c>
      <c r="B1" s="7"/>
      <c r="C1" s="12"/>
      <c r="D1" s="55"/>
    </row>
    <row r="2" spans="1:4" x14ac:dyDescent="0.2">
      <c r="A2" s="2"/>
      <c r="B2" s="8"/>
      <c r="C2" s="8" t="s">
        <v>15</v>
      </c>
      <c r="D2" s="56"/>
    </row>
    <row r="3" spans="1:4" x14ac:dyDescent="0.2">
      <c r="A3" s="2"/>
      <c r="B3" s="8"/>
      <c r="C3" s="8" t="s">
        <v>0</v>
      </c>
      <c r="D3" s="56"/>
    </row>
    <row r="4" spans="1:4" x14ac:dyDescent="0.2">
      <c r="A4" s="3"/>
      <c r="B4" s="9"/>
      <c r="C4" s="22"/>
      <c r="D4" s="57"/>
    </row>
    <row r="5" spans="1:4" x14ac:dyDescent="0.2">
      <c r="A5" s="4"/>
      <c r="B5" s="10"/>
      <c r="C5" s="35"/>
      <c r="D5" s="55"/>
    </row>
    <row r="6" spans="1:4" x14ac:dyDescent="0.2">
      <c r="A6" s="2" t="s">
        <v>3</v>
      </c>
      <c r="B6" s="8" t="s">
        <v>12</v>
      </c>
      <c r="C6" s="33">
        <v>81971311.896383643</v>
      </c>
      <c r="D6" s="53">
        <f>C6/C22</f>
        <v>0.13335387125833559</v>
      </c>
    </row>
    <row r="7" spans="1:4" x14ac:dyDescent="0.2">
      <c r="A7" s="2" t="s">
        <v>4</v>
      </c>
      <c r="B7" s="8" t="s">
        <v>13</v>
      </c>
      <c r="C7" s="33">
        <v>9960596.3307061363</v>
      </c>
      <c r="D7" s="53">
        <f>C7/C23</f>
        <v>0.12492211388408991</v>
      </c>
    </row>
    <row r="8" spans="1:4" x14ac:dyDescent="0.2">
      <c r="A8" s="3"/>
      <c r="B8" s="9" t="s">
        <v>14</v>
      </c>
      <c r="C8" s="34">
        <v>72010715.565677509</v>
      </c>
      <c r="D8" s="54">
        <f>C8/C24</f>
        <v>0.13461061373589114</v>
      </c>
    </row>
    <row r="9" spans="1:4" x14ac:dyDescent="0.2">
      <c r="A9" s="2"/>
      <c r="B9" s="8"/>
      <c r="C9" s="33"/>
      <c r="D9" s="52"/>
    </row>
    <row r="10" spans="1:4" x14ac:dyDescent="0.2">
      <c r="A10" s="2" t="s">
        <v>8</v>
      </c>
      <c r="B10" s="8" t="s">
        <v>12</v>
      </c>
      <c r="C10" s="33">
        <v>35999527.727396801</v>
      </c>
      <c r="D10" s="53">
        <f>C10/C22</f>
        <v>5.8565323341274338E-2</v>
      </c>
    </row>
    <row r="11" spans="1:4" x14ac:dyDescent="0.2">
      <c r="A11" s="2" t="s">
        <v>9</v>
      </c>
      <c r="B11" s="8" t="s">
        <v>13</v>
      </c>
      <c r="C11" s="33">
        <v>3594036.2512072665</v>
      </c>
      <c r="D11" s="53">
        <f>C11/C23</f>
        <v>4.5075072914337509E-2</v>
      </c>
    </row>
    <row r="12" spans="1:4" x14ac:dyDescent="0.2">
      <c r="A12" s="3"/>
      <c r="B12" s="9" t="s">
        <v>14</v>
      </c>
      <c r="C12" s="34">
        <v>32405491.476189535</v>
      </c>
      <c r="D12" s="54">
        <f>C12/C24</f>
        <v>6.0576027633617663E-2</v>
      </c>
    </row>
    <row r="13" spans="1:4" x14ac:dyDescent="0.2">
      <c r="A13" s="2"/>
      <c r="B13" s="8"/>
      <c r="C13" s="33"/>
      <c r="D13" s="52"/>
    </row>
    <row r="14" spans="1:4" x14ac:dyDescent="0.2">
      <c r="A14" s="2" t="s">
        <v>10</v>
      </c>
      <c r="B14" s="8" t="s">
        <v>12</v>
      </c>
      <c r="C14" s="33">
        <v>231958136.59563532</v>
      </c>
      <c r="D14" s="53">
        <f>C14/C22</f>
        <v>0.37735781908673388</v>
      </c>
    </row>
    <row r="15" spans="1:4" x14ac:dyDescent="0.2">
      <c r="A15" s="2" t="s">
        <v>11</v>
      </c>
      <c r="B15" s="8" t="s">
        <v>13</v>
      </c>
      <c r="C15" s="33">
        <v>25885032.163912162</v>
      </c>
      <c r="D15" s="53">
        <f>C15/C23</f>
        <v>0.32464049626276992</v>
      </c>
    </row>
    <row r="16" spans="1:4" x14ac:dyDescent="0.2">
      <c r="A16" s="3"/>
      <c r="B16" s="9" t="s">
        <v>14</v>
      </c>
      <c r="C16" s="34">
        <v>206073104.43172318</v>
      </c>
      <c r="D16" s="54">
        <f>C16/C24</f>
        <v>0.38521526753493607</v>
      </c>
    </row>
    <row r="17" spans="1:4" x14ac:dyDescent="0.2">
      <c r="A17" s="2"/>
      <c r="B17" s="8"/>
      <c r="C17" s="33"/>
      <c r="D17" s="52"/>
    </row>
    <row r="18" spans="1:4" x14ac:dyDescent="0.2">
      <c r="A18" s="2" t="s">
        <v>5</v>
      </c>
      <c r="B18" s="8" t="s">
        <v>12</v>
      </c>
      <c r="C18" s="33">
        <v>264761180.55107024</v>
      </c>
      <c r="D18" s="53">
        <f>C18/C22</f>
        <v>0.43072298794049207</v>
      </c>
    </row>
    <row r="19" spans="1:4" x14ac:dyDescent="0.2">
      <c r="A19" s="2" t="s">
        <v>6</v>
      </c>
      <c r="B19" s="8" t="s">
        <v>13</v>
      </c>
      <c r="C19" s="33">
        <v>40294788.554174438</v>
      </c>
      <c r="D19" s="53">
        <f>C19/C23</f>
        <v>0.50536232948043258</v>
      </c>
    </row>
    <row r="20" spans="1:4" x14ac:dyDescent="0.2">
      <c r="A20" s="3"/>
      <c r="B20" s="9" t="s">
        <v>14</v>
      </c>
      <c r="C20" s="34">
        <v>224466391.99689579</v>
      </c>
      <c r="D20" s="54">
        <f>C20/C24</f>
        <v>0.41959809109555518</v>
      </c>
    </row>
    <row r="21" spans="1:4" x14ac:dyDescent="0.2">
      <c r="A21" s="2"/>
      <c r="B21" s="8"/>
      <c r="C21" s="33"/>
      <c r="D21" s="52"/>
    </row>
    <row r="22" spans="1:4" x14ac:dyDescent="0.2">
      <c r="A22" s="2" t="s">
        <v>7</v>
      </c>
      <c r="B22" s="8" t="s">
        <v>12</v>
      </c>
      <c r="C22" s="33">
        <v>614690155.770486</v>
      </c>
      <c r="D22" s="53">
        <f>D6+D10+D14+D18</f>
        <v>1.000000001626836</v>
      </c>
    </row>
    <row r="23" spans="1:4" x14ac:dyDescent="0.2">
      <c r="A23" s="5"/>
      <c r="B23" s="8" t="s">
        <v>13</v>
      </c>
      <c r="C23" s="33">
        <v>79734452.300000012</v>
      </c>
      <c r="D23" s="53">
        <f>D7+D11+D15+D19</f>
        <v>1.00000001254163</v>
      </c>
    </row>
    <row r="24" spans="1:4" x14ac:dyDescent="0.2">
      <c r="A24" s="6"/>
      <c r="B24" s="9" t="s">
        <v>14</v>
      </c>
      <c r="C24" s="34">
        <v>534955703.47048599</v>
      </c>
      <c r="D24" s="54">
        <f>D8+D12+D20+D16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TAE 2012</vt:lpstr>
      <vt:lpstr>Yhteensopivuusraportti</vt:lpstr>
      <vt:lpstr>prosesseittain %</vt:lpstr>
    </vt:vector>
  </TitlesOfParts>
  <Company>Turun Kaupungin Terveystoimi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ppaatone</dc:creator>
  <cp:lastModifiedBy>Jaana Railamaa</cp:lastModifiedBy>
  <cp:lastPrinted>2011-12-30T08:29:41Z</cp:lastPrinted>
  <dcterms:created xsi:type="dcterms:W3CDTF">2010-12-09T13:04:46Z</dcterms:created>
  <dcterms:modified xsi:type="dcterms:W3CDTF">2012-01-09T08:11:50Z</dcterms:modified>
</cp:coreProperties>
</file>