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90" windowWidth="10335" windowHeight="5670"/>
  </bookViews>
  <sheets>
    <sheet name="te54" sheetId="10" r:id="rId1"/>
    <sheet name="inv" sheetId="12" r:id="rId2"/>
    <sheet name="ots" sheetId="13" r:id="rId3"/>
    <sheet name="Yhteensopivuusraportti" sheetId="14" r:id="rId4"/>
  </sheets>
  <externalReferences>
    <externalReference r:id="rId5"/>
  </externalReferences>
  <definedNames>
    <definedName name="tulosalue">'te54'!$A$43:$E$59</definedName>
    <definedName name="tulostus">'te54'!$A$2:$I$42</definedName>
    <definedName name="_xlnm.Print_Area" localSheetId="1">inv!$A$1:$G$22</definedName>
    <definedName name="_xlnm.Print_Area" localSheetId="0">'te54'!$A$1:$I$59</definedName>
  </definedNames>
  <calcPr calcId="145621"/>
</workbook>
</file>

<file path=xl/calcChain.xml><?xml version="1.0" encoding="utf-8"?>
<calcChain xmlns="http://schemas.openxmlformats.org/spreadsheetml/2006/main">
  <c r="F55" i="10" l="1"/>
  <c r="M9" i="10" s="1"/>
  <c r="M7" i="10"/>
  <c r="M5" i="10"/>
  <c r="F59" i="10"/>
  <c r="F51" i="10"/>
  <c r="F47" i="10"/>
  <c r="F25" i="10"/>
  <c r="F37" i="10" s="1"/>
  <c r="F17" i="10"/>
  <c r="G9" i="10" l="1"/>
  <c r="G10" i="10" s="1"/>
  <c r="F7" i="10"/>
  <c r="I9" i="10"/>
  <c r="H9" i="10"/>
  <c r="F9" i="10"/>
  <c r="E28" i="10"/>
  <c r="D13" i="10"/>
  <c r="D12" i="10"/>
  <c r="D14" i="10" s="1"/>
  <c r="D9" i="10"/>
  <c r="B20" i="10"/>
  <c r="B23" i="10"/>
  <c r="B17" i="10" s="1"/>
  <c r="B27" i="10"/>
  <c r="B28" i="10"/>
  <c r="B25" i="10" s="1"/>
  <c r="B7" i="10" s="1"/>
  <c r="J7" i="10" s="1"/>
  <c r="B34" i="10"/>
  <c r="B36" i="10"/>
  <c r="C27" i="10"/>
  <c r="C28" i="10"/>
  <c r="C3" i="10"/>
  <c r="B54" i="10"/>
  <c r="B53" i="10"/>
  <c r="B50" i="10"/>
  <c r="B49" i="10"/>
  <c r="B51" i="10" s="1"/>
  <c r="B46" i="10"/>
  <c r="B45" i="10"/>
  <c r="B59" i="10"/>
  <c r="B55" i="10"/>
  <c r="B47" i="10"/>
  <c r="E25" i="10"/>
  <c r="E7" i="10"/>
  <c r="E17" i="10"/>
  <c r="E5" i="10"/>
  <c r="E9" i="10" s="1"/>
  <c r="C1" i="12"/>
  <c r="E47" i="10"/>
  <c r="E51" i="10"/>
  <c r="E55" i="10"/>
  <c r="E59" i="10"/>
  <c r="C25" i="10"/>
  <c r="C7" i="10"/>
  <c r="C17" i="10"/>
  <c r="C5" i="10"/>
  <c r="C9" i="10" s="1"/>
  <c r="C47" i="10"/>
  <c r="C51" i="10"/>
  <c r="C55" i="10"/>
  <c r="C59" i="10"/>
  <c r="K5" i="10"/>
  <c r="K7" i="10"/>
  <c r="E43" i="10"/>
  <c r="L4" i="10"/>
  <c r="L7" i="10"/>
  <c r="H5" i="12"/>
  <c r="G5" i="12"/>
  <c r="H13" i="10" s="1"/>
  <c r="F5" i="12"/>
  <c r="H8" i="12"/>
  <c r="H4" i="12" s="1"/>
  <c r="G8" i="12"/>
  <c r="G4" i="12" s="1"/>
  <c r="F8" i="12"/>
  <c r="F4" i="12" s="1"/>
  <c r="H1" i="12"/>
  <c r="I3" i="10"/>
  <c r="I10" i="10"/>
  <c r="I13" i="10"/>
  <c r="B8" i="12"/>
  <c r="B4" i="12"/>
  <c r="B12" i="10" s="1"/>
  <c r="B14" i="10" s="1"/>
  <c r="B5" i="12"/>
  <c r="B13" i="10" s="1"/>
  <c r="E8" i="12"/>
  <c r="E4" i="12" s="1"/>
  <c r="E5" i="12"/>
  <c r="F13" i="10"/>
  <c r="C43" i="10"/>
  <c r="D8" i="12"/>
  <c r="C8" i="12"/>
  <c r="C37" i="10"/>
  <c r="C39" i="10"/>
  <c r="G1" i="12"/>
  <c r="F1" i="12"/>
  <c r="B1" i="12"/>
  <c r="D5" i="12"/>
  <c r="D6" i="12" s="1"/>
  <c r="C5" i="12"/>
  <c r="D4" i="12"/>
  <c r="C4" i="12"/>
  <c r="C6" i="12"/>
  <c r="B6" i="12"/>
  <c r="B43" i="10"/>
  <c r="B3" i="10"/>
  <c r="G3" i="10"/>
  <c r="H3" i="10"/>
  <c r="K4" i="10"/>
  <c r="J4" i="10"/>
  <c r="G13" i="10"/>
  <c r="E13" i="10"/>
  <c r="C13" i="10"/>
  <c r="E12" i="10"/>
  <c r="E14" i="10" s="1"/>
  <c r="C12" i="10"/>
  <c r="C14" i="10"/>
  <c r="E37" i="10"/>
  <c r="E39" i="10" s="1"/>
  <c r="H10" i="10"/>
  <c r="H6" i="12" l="1"/>
  <c r="I12" i="10"/>
  <c r="I14" i="10" s="1"/>
  <c r="L9" i="10"/>
  <c r="E10" i="10"/>
  <c r="B5" i="10"/>
  <c r="B37" i="10"/>
  <c r="B39" i="10" s="1"/>
  <c r="G6" i="12"/>
  <c r="H12" i="10"/>
  <c r="H14" i="10" s="1"/>
  <c r="F10" i="10"/>
  <c r="K9" i="10"/>
  <c r="E6" i="12"/>
  <c r="F12" i="10"/>
  <c r="F14" i="10" s="1"/>
  <c r="F6" i="12"/>
  <c r="G12" i="10"/>
  <c r="G14" i="10" s="1"/>
  <c r="L5" i="10"/>
  <c r="J5" i="10" l="1"/>
  <c r="B9" i="10"/>
  <c r="D10" i="10" l="1"/>
  <c r="J9" i="10"/>
  <c r="C10" i="10"/>
</calcChain>
</file>

<file path=xl/comments1.xml><?xml version="1.0" encoding="utf-8"?>
<comments xmlns="http://schemas.openxmlformats.org/spreadsheetml/2006/main">
  <authors>
    <author>Liisa Fossi</author>
  </authors>
  <commentList>
    <comment ref="G10" authorId="0">
      <text>
        <r>
          <rPr>
            <sz val="8"/>
            <color indexed="81"/>
            <rFont val="Tahoma"/>
          </rPr>
          <t>MUUTA SARAKE oikeaksi, KUN KJN LUVUT TULEVAT</t>
        </r>
      </text>
    </comment>
    <comment ref="A48" authorId="0">
      <text>
        <r>
          <rPr>
            <sz val="8"/>
            <color indexed="81"/>
            <rFont val="Tahoma"/>
          </rPr>
          <t>tp kustpaikat 15410
 ja 15411</t>
        </r>
      </text>
    </comment>
    <comment ref="A52" authorId="0">
      <text>
        <r>
          <rPr>
            <sz val="8"/>
            <color indexed="81"/>
            <rFont val="Tahoma"/>
          </rPr>
          <t>tp kustpaikat 15412
 ja 15413</t>
        </r>
      </text>
    </comment>
  </commentList>
</comments>
</file>

<file path=xl/sharedStrings.xml><?xml version="1.0" encoding="utf-8"?>
<sst xmlns="http://schemas.openxmlformats.org/spreadsheetml/2006/main" count="96" uniqueCount="76">
  <si>
    <t>Muutos-%</t>
  </si>
  <si>
    <t>TILIKAUDEN TULOS</t>
  </si>
  <si>
    <t>SISÄISET ERÄT</t>
  </si>
  <si>
    <t>TOIMINTAKULUT</t>
  </si>
  <si>
    <t>TOIMINTATUOTOT</t>
  </si>
  <si>
    <t>TOIMINTAKULUISTA</t>
  </si>
  <si>
    <t>TOIMINTATUOTOISTA</t>
  </si>
  <si>
    <t>VARSINAINEN TOIMINTA</t>
  </si>
  <si>
    <t>Myyntituotot</t>
  </si>
  <si>
    <t>Maksutuotot</t>
  </si>
  <si>
    <t>Tuet ja avustukset</t>
  </si>
  <si>
    <t>Muut toimintatuotot</t>
  </si>
  <si>
    <t xml:space="preserve">  Vuokrat</t>
  </si>
  <si>
    <t xml:space="preserve">  Muut</t>
  </si>
  <si>
    <t>VALMISTUS OMAAN KÄYTTÖÖN</t>
  </si>
  <si>
    <t>Henkilöstökulut</t>
  </si>
  <si>
    <t xml:space="preserve">  Palkat ja palkkiot</t>
  </si>
  <si>
    <t xml:space="preserve">  Henkilösivukulut</t>
  </si>
  <si>
    <t>Palvelujen ostot</t>
  </si>
  <si>
    <t>Aineet, tarvikkeet ja tavarat</t>
  </si>
  <si>
    <t>Avustukset</t>
  </si>
  <si>
    <t>Muut toimintakulut</t>
  </si>
  <si>
    <t>TOIMINTAKATE</t>
  </si>
  <si>
    <t>Poistot ja arvonalentumiset</t>
  </si>
  <si>
    <t>Toimintatuotot</t>
  </si>
  <si>
    <t>Toimintakulut</t>
  </si>
  <si>
    <t>Toimintakate</t>
  </si>
  <si>
    <t>Käyttötalousosa</t>
  </si>
  <si>
    <t>Asiakaspalvelujen ostot</t>
  </si>
  <si>
    <t xml:space="preserve">  Sisäiset vuokrat</t>
  </si>
  <si>
    <t>Määrärahat ja tuloerät</t>
  </si>
  <si>
    <t>Tuloslaskelma</t>
  </si>
  <si>
    <t>Netto</t>
  </si>
  <si>
    <t>Investointiosa</t>
  </si>
  <si>
    <t>Menot</t>
  </si>
  <si>
    <t>Tulot</t>
  </si>
  <si>
    <t xml:space="preserve">Tulosalueet
</t>
  </si>
  <si>
    <t>Toimintatuotot (R5)– Tulosalueiden toimintatuotot yhteensä</t>
  </si>
  <si>
    <t>Toimintakulut (R6) – Tulosalueiden toimintakulut yhteensä</t>
  </si>
  <si>
    <t>Toimintakate (R8) – Tulosalueiden netot yhteensä</t>
  </si>
  <si>
    <t>MENOT</t>
  </si>
  <si>
    <t>TULOT</t>
  </si>
  <si>
    <t>NETTO</t>
  </si>
  <si>
    <t>josta käyttötalousosaan kirjattavan myyntivoiton/
myyntitappion osuus</t>
  </si>
  <si>
    <t xml:space="preserve">  johon sis. mks:iä</t>
  </si>
  <si>
    <t>NUORISOASIAINKESKUS, HALLINTO</t>
  </si>
  <si>
    <t>NUORTEN ELÄMÄNHALLINNAN VAHVISTAMINEN</t>
  </si>
  <si>
    <t>AKTIIVISEN KANSALAISUUDEN EDISTÄMINEN</t>
  </si>
  <si>
    <t>HANKKEET</t>
  </si>
  <si>
    <t>NUORISOLAUTAKUNTA</t>
  </si>
  <si>
    <t>Hkn ehdotus
(€)</t>
  </si>
  <si>
    <t>INVESTOINNIT</t>
  </si>
  <si>
    <t>Investointimenot</t>
  </si>
  <si>
    <t>Asuinrakennukset</t>
  </si>
  <si>
    <t>Muut rakennukset</t>
  </si>
  <si>
    <t>Kuljetusvälineet</t>
  </si>
  <si>
    <t>Muut koneet ja kalusto</t>
  </si>
  <si>
    <t>Kiinteät rakenteet ja laitteet</t>
  </si>
  <si>
    <t>Maa- ja vesialueet</t>
  </si>
  <si>
    <t>Osakkeet ja osuudet</t>
  </si>
  <si>
    <t>Muut aineelliset hyödykkeet</t>
  </si>
  <si>
    <t>IT-hankinnat</t>
  </si>
  <si>
    <t>Tietoliikenne</t>
  </si>
  <si>
    <t>Valtionosuudet ja muut 
rahoitusosuudet</t>
  </si>
  <si>
    <t>Pysyvien vastaavien luovutustulot,</t>
  </si>
  <si>
    <t>Ennuste III
2011 (€)</t>
  </si>
  <si>
    <t>Talous-
arvio
2012
(€)</t>
  </si>
  <si>
    <t>Yhteensopivuusraportti: te54-l, joulukuu 2011.xls</t>
  </si>
  <si>
    <t>Suorita kohteessa: 5.12.2011 15:01</t>
  </si>
  <si>
    <t>Seuraavia tämän työkirjan ominaisuuksia ei tueta Excelin aiemmissa versioissa. Nämä ominaisuudet menetetään tai niistä otetaan käyttöön rajoitettu muoto, jos työkirja tallennetaan aiemmassa tiedostomuodossa.</t>
  </si>
  <si>
    <t>Vähäinen laadun menetys</t>
  </si>
  <si>
    <t>Esiintymien määrä</t>
  </si>
  <si>
    <t>Versio</t>
  </si>
  <si>
    <t>Jotkin tämän työkirjan kaavat on linkitetty toisiin, suljettuihin työkirjoihin. Kun nämä kaavat lasketaan uudelleen Excelin aiemmissa versioissa avaamatta linkitettyjä työkirjoja, palautetaan vain 255 merkkiä.</t>
  </si>
  <si>
    <t>te54'!D12:D13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</si>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</sst>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</font>
    <font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lightGray"/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3" fontId="2" fillId="0" borderId="0" xfId="0" applyNumberFormat="1" applyFont="1" applyProtection="1">
      <protection locked="0"/>
    </xf>
    <xf numFmtId="3" fontId="2" fillId="0" borderId="0" xfId="0" applyNumberFormat="1" applyFont="1"/>
    <xf numFmtId="3" fontId="2" fillId="0" borderId="0" xfId="0" applyNumberFormat="1" applyFont="1" applyProtection="1"/>
    <xf numFmtId="3" fontId="3" fillId="0" borderId="0" xfId="0" applyNumberFormat="1" applyFont="1" applyProtection="1"/>
    <xf numFmtId="3" fontId="4" fillId="0" borderId="0" xfId="0" applyNumberFormat="1" applyFont="1" applyBorder="1" applyAlignment="1" applyProtection="1">
      <alignment horizontal="right" wrapText="1"/>
      <protection locked="0"/>
    </xf>
    <xf numFmtId="3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left"/>
    </xf>
    <xf numFmtId="3" fontId="3" fillId="0" borderId="0" xfId="0" applyNumberFormat="1" applyFont="1"/>
    <xf numFmtId="3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3" fontId="4" fillId="0" borderId="0" xfId="0" applyNumberFormat="1" applyFont="1" applyAlignment="1" applyProtection="1">
      <alignment horizontal="left" vertical="top"/>
      <protection locked="0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3" fontId="5" fillId="2" borderId="0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Border="1" applyAlignment="1" applyProtection="1">
      <alignment horizontal="left"/>
    </xf>
    <xf numFmtId="3" fontId="6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Protection="1"/>
    <xf numFmtId="164" fontId="5" fillId="0" borderId="0" xfId="0" applyNumberFormat="1" applyFont="1" applyAlignment="1" applyProtection="1"/>
    <xf numFmtId="3" fontId="5" fillId="0" borderId="0" xfId="0" applyNumberFormat="1" applyFont="1" applyProtection="1"/>
    <xf numFmtId="3" fontId="5" fillId="0" borderId="0" xfId="0" applyNumberFormat="1" applyFont="1" applyAlignment="1" applyProtection="1"/>
    <xf numFmtId="3" fontId="5" fillId="2" borderId="0" xfId="0" applyNumberFormat="1" applyFont="1" applyFill="1" applyProtection="1"/>
    <xf numFmtId="3" fontId="5" fillId="2" borderId="0" xfId="0" applyNumberFormat="1" applyFont="1" applyFill="1" applyAlignment="1" applyProtection="1"/>
    <xf numFmtId="3" fontId="5" fillId="0" borderId="0" xfId="0" applyNumberFormat="1" applyFont="1" applyBorder="1" applyAlignment="1" applyProtection="1">
      <alignment horizontal="left" vertical="top"/>
    </xf>
    <xf numFmtId="3" fontId="4" fillId="0" borderId="0" xfId="0" applyNumberFormat="1" applyFont="1" applyBorder="1" applyAlignment="1" applyProtection="1">
      <alignment horizontal="left" vertical="top"/>
    </xf>
    <xf numFmtId="3" fontId="4" fillId="0" borderId="0" xfId="0" applyNumberFormat="1" applyFont="1" applyAlignment="1" applyProtection="1">
      <alignment horizontal="left" vertical="top"/>
    </xf>
    <xf numFmtId="3" fontId="4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Alignment="1" applyProtection="1">
      <alignment horizontal="left" vertical="top"/>
    </xf>
    <xf numFmtId="3" fontId="5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</xf>
    <xf numFmtId="3" fontId="4" fillId="0" borderId="0" xfId="0" applyNumberFormat="1" applyFont="1" applyFill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</xf>
    <xf numFmtId="3" fontId="4" fillId="0" borderId="0" xfId="0" applyNumberFormat="1" applyFont="1" applyFill="1" applyAlignment="1" applyProtection="1">
      <alignment horizontal="left" vertical="top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 applyProtection="1">
      <alignment horizontal="left" wrapText="1"/>
      <protection locked="0"/>
    </xf>
    <xf numFmtId="3" fontId="7" fillId="0" borderId="0" xfId="0" applyNumberFormat="1" applyFont="1" applyAlignment="1" applyProtection="1">
      <alignment horizontal="left" vertical="top"/>
      <protection locked="0"/>
    </xf>
    <xf numFmtId="3" fontId="5" fillId="0" borderId="0" xfId="0" quotePrefix="1" applyNumberFormat="1" applyFont="1" applyBorder="1" applyAlignment="1" applyProtection="1">
      <alignment horizontal="left" wrapText="1"/>
    </xf>
    <xf numFmtId="4" fontId="4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right"/>
    </xf>
    <xf numFmtId="4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horizontal="left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8" fillId="0" borderId="4" xfId="1" quotePrefix="1" applyNumberFormat="1" applyBorder="1" applyAlignment="1" applyProtection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sandvik/Local%20Settings/Temporary%20Internet%20Files/Content.Outlook/2D3EAMH8/investointio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yhd"/>
      <sheetName val="invvesi"/>
      <sheetName val="invliik"/>
      <sheetName val="invsatama"/>
      <sheetName val="invkiint"/>
      <sheetName val="invtila"/>
      <sheetName val="invjäte"/>
      <sheetName val="invkunte"/>
      <sheetName val="invviher"/>
      <sheetName val="invtalo"/>
      <sheetName val="invkiho"/>
      <sheetName val="liiketul"/>
      <sheetName val="27501"/>
      <sheetName val="27502"/>
      <sheetName val="27503"/>
      <sheetName val="27510"/>
      <sheetName val="27520"/>
      <sheetName val="27530"/>
      <sheetName val="27540"/>
      <sheetName val="27550"/>
      <sheetName val="27501-27510 tul."/>
      <sheetName val="27520 tul."/>
      <sheetName val="27530 tul."/>
      <sheetName val="27540-27550 tul."/>
      <sheetName val="ots"/>
    </sheetNames>
    <sheetDataSet>
      <sheetData sheetId="0">
        <row r="22">
          <cell r="D22">
            <v>124200</v>
          </cell>
        </row>
        <row r="23">
          <cell r="D23">
            <v>30000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/>
  <dimension ref="A1:M59"/>
  <sheetViews>
    <sheetView showGridLines="0" tabSelected="1" zoomScaleNormal="100" workbookViewId="0">
      <selection activeCell="F39" sqref="F39"/>
    </sheetView>
  </sheetViews>
  <sheetFormatPr defaultRowHeight="12.75"/>
  <cols>
    <col min="1" max="1" width="22.7109375" style="14" customWidth="1"/>
    <col min="2" max="2" width="10.7109375" style="14" customWidth="1"/>
    <col min="3" max="5" width="10.140625" style="14" bestFit="1" customWidth="1"/>
    <col min="6" max="6" width="10.7109375" style="14" customWidth="1"/>
    <col min="7" max="9" width="8.28515625" style="14" bestFit="1" customWidth="1"/>
    <col min="10" max="10" width="13.7109375" style="13" customWidth="1"/>
    <col min="11" max="11" width="14.140625" style="13" bestFit="1" customWidth="1"/>
    <col min="12" max="12" width="13.7109375" style="13" bestFit="1" customWidth="1"/>
    <col min="13" max="16384" width="9.140625" style="14"/>
  </cols>
  <sheetData>
    <row r="1" spans="1:13" ht="24.95" customHeight="1">
      <c r="A1" s="45" t="s">
        <v>49</v>
      </c>
      <c r="B1" s="11"/>
      <c r="C1" s="11"/>
      <c r="D1" s="11"/>
      <c r="E1" s="11"/>
      <c r="F1" s="11"/>
      <c r="G1" s="11"/>
      <c r="H1" s="11"/>
      <c r="I1" s="11"/>
      <c r="J1" s="12" t="s">
        <v>37</v>
      </c>
    </row>
    <row r="2" spans="1:13" ht="24.95" customHeight="1">
      <c r="A2" s="15" t="s">
        <v>30</v>
      </c>
      <c r="J2" s="12" t="s">
        <v>38</v>
      </c>
    </row>
    <row r="3" spans="1:13" ht="51">
      <c r="A3" s="16"/>
      <c r="B3" s="5" t="str">
        <f>"TP " &amp; ots!$A$1-2 &amp; "
(€)"</f>
        <v>TP 2010
(€)</v>
      </c>
      <c r="C3" s="5" t="str">
        <f>"TA "&amp; ots!$A$1-1 &amp;"
(€)"</f>
        <v>TA 2011
(€)</v>
      </c>
      <c r="D3" s="5" t="s">
        <v>65</v>
      </c>
      <c r="E3" s="5" t="s">
        <v>50</v>
      </c>
      <c r="F3" s="5" t="s">
        <v>66</v>
      </c>
      <c r="G3" s="5" t="str">
        <f>"TS " &amp; ots!$A$1+1 &amp; "
(1.000 €)"</f>
        <v>TS 2013
(1.000 €)</v>
      </c>
      <c r="H3" s="5" t="str">
        <f>"TS " &amp; ots!$A$1+2 &amp; "
(1.000 €)"</f>
        <v>TS 2014
(1.000 €)</v>
      </c>
      <c r="I3" s="5" t="str">
        <f>"TS " &amp; ots!$A$1+3 &amp; "
(1.000 €)"</f>
        <v>TS 2015
(1.000 €)</v>
      </c>
      <c r="J3" s="12" t="s">
        <v>39</v>
      </c>
    </row>
    <row r="4" spans="1:13">
      <c r="A4" s="17" t="s">
        <v>27</v>
      </c>
      <c r="B4" s="18"/>
      <c r="C4" s="18"/>
      <c r="D4" s="18"/>
      <c r="E4" s="18"/>
      <c r="F4" s="18"/>
      <c r="G4" s="18"/>
      <c r="H4" s="18"/>
      <c r="I4" s="18"/>
      <c r="J4" s="13" t="str">
        <f>"TP " &amp; ots!$A$1-2</f>
        <v>TP 2010</v>
      </c>
      <c r="K4" s="13" t="str">
        <f>"TA " &amp; ots!$A$1-1</f>
        <v>TA 2011</v>
      </c>
      <c r="L4" s="13" t="str">
        <f>"HK " &amp; ots!$A$1</f>
        <v>HK 2012</v>
      </c>
    </row>
    <row r="5" spans="1:13">
      <c r="A5" s="16" t="s">
        <v>24</v>
      </c>
      <c r="B5" s="19">
        <f>SUM(B17+B24)</f>
        <v>1452774.46</v>
      </c>
      <c r="C5" s="19">
        <f>SUM(C17+C24)</f>
        <v>1107546</v>
      </c>
      <c r="D5" s="19">
        <v>1653686</v>
      </c>
      <c r="E5" s="19">
        <f>SUM(E17+E24)</f>
        <v>1165146</v>
      </c>
      <c r="F5" s="20">
        <v>1165146</v>
      </c>
      <c r="G5" s="21"/>
      <c r="H5" s="21"/>
      <c r="I5" s="21"/>
      <c r="J5" s="13">
        <f>+B5-B45-B49-B53-B57</f>
        <v>0</v>
      </c>
      <c r="K5" s="13">
        <f>+C5-C45-C49-C53-C57</f>
        <v>0</v>
      </c>
      <c r="L5" s="13">
        <f>+E5-E45-E49-E53-E57</f>
        <v>0</v>
      </c>
      <c r="M5" s="14">
        <f>+F5-F45-F49-F53-F57</f>
        <v>0</v>
      </c>
    </row>
    <row r="6" spans="1:13">
      <c r="A6" s="46" t="s">
        <v>44</v>
      </c>
      <c r="B6" s="19">
        <v>2300</v>
      </c>
      <c r="C6" s="19"/>
      <c r="D6" s="19"/>
      <c r="E6" s="19"/>
      <c r="F6" s="20"/>
      <c r="G6" s="21"/>
      <c r="H6" s="21"/>
      <c r="I6" s="21"/>
    </row>
    <row r="7" spans="1:13">
      <c r="A7" s="16" t="s">
        <v>25</v>
      </c>
      <c r="B7" s="19">
        <f>SUM(B25)</f>
        <v>10534408.109999999</v>
      </c>
      <c r="C7" s="19">
        <f>SUM(C25)</f>
        <v>10534052</v>
      </c>
      <c r="D7" s="19">
        <v>11084363</v>
      </c>
      <c r="E7" s="19">
        <f>SUM(E25)</f>
        <v>10865146</v>
      </c>
      <c r="F7" s="20">
        <f>10865146+6061</f>
        <v>10871207</v>
      </c>
      <c r="G7" s="21"/>
      <c r="H7" s="21"/>
      <c r="I7" s="21"/>
      <c r="J7" s="13">
        <f>+B7-B46-B50-B54-B58</f>
        <v>0</v>
      </c>
      <c r="K7" s="13">
        <f>+C7-C46-C50-C54-C58</f>
        <v>0</v>
      </c>
      <c r="L7" s="13">
        <f>+E7-E46-E50-E54-E58</f>
        <v>0</v>
      </c>
      <c r="M7" s="14">
        <f>+F7-F46-F50-F54-F58</f>
        <v>0</v>
      </c>
    </row>
    <row r="8" spans="1:13">
      <c r="A8" s="46" t="s">
        <v>44</v>
      </c>
      <c r="B8" s="21">
        <v>167524.4</v>
      </c>
      <c r="C8" s="19"/>
      <c r="D8" s="19"/>
      <c r="E8" s="19"/>
      <c r="F8" s="21"/>
      <c r="G8" s="21"/>
      <c r="H8" s="21"/>
      <c r="I8" s="21"/>
      <c r="J8" s="14"/>
      <c r="K8" s="14"/>
      <c r="L8" s="14"/>
    </row>
    <row r="9" spans="1:13">
      <c r="A9" s="16" t="s">
        <v>26</v>
      </c>
      <c r="B9" s="19">
        <f>+B5-B7</f>
        <v>-9081633.6499999985</v>
      </c>
      <c r="C9" s="19">
        <f>+C5-C7</f>
        <v>-9426506</v>
      </c>
      <c r="D9" s="19">
        <f>+D5-D7</f>
        <v>-9430677</v>
      </c>
      <c r="E9" s="19">
        <f>+E5-E7</f>
        <v>-9700000</v>
      </c>
      <c r="F9" s="19">
        <f>+F5-F7</f>
        <v>-9706061</v>
      </c>
      <c r="G9" s="20">
        <f>-10079.453+188.5-5</f>
        <v>-9895.9529999999995</v>
      </c>
      <c r="H9" s="20">
        <f>-10263.465+173</f>
        <v>-10090.465</v>
      </c>
      <c r="I9" s="20">
        <f>-10483.859+192</f>
        <v>-10291.859</v>
      </c>
      <c r="J9" s="13">
        <f>B9-(+B47+B51+B55+B59)</f>
        <v>0</v>
      </c>
      <c r="K9" s="13">
        <f>C9-(+C47+C51+C55+C59)</f>
        <v>0</v>
      </c>
      <c r="L9" s="13">
        <f>E9-(+E47+E51+E55+E59)</f>
        <v>0</v>
      </c>
      <c r="M9" s="14">
        <f>F9-(+F47+F51+F55+F59)</f>
        <v>0</v>
      </c>
    </row>
    <row r="10" spans="1:13">
      <c r="A10" s="22" t="s">
        <v>0</v>
      </c>
      <c r="B10" s="23"/>
      <c r="C10" s="24">
        <f>IF(ISERR(100*C9/B9-100),0,100*C9/B9-100)</f>
        <v>3.7974704033563569</v>
      </c>
      <c r="D10" s="24">
        <f>IF(ISERR(100*D9/B9-100),0,100*D9/B9-100)</f>
        <v>3.8433982634831523</v>
      </c>
      <c r="E10" s="25">
        <f>IF(ISERR(100*E9/C9-100),0,100*E9/C9-100)</f>
        <v>2.9013295063939921</v>
      </c>
      <c r="F10" s="24">
        <f>IF(ISERR(100*F9/C9-100),0,100*F9/C9-100)</f>
        <v>2.9656269247587659</v>
      </c>
      <c r="G10" s="25">
        <f>IF(ISERR(100*G9*1000/F9-100),0,100*G9*1000/F9-100)</f>
        <v>1.9564270201887126</v>
      </c>
      <c r="H10" s="24">
        <f>IF(ISERR(100*H9/G9-100),0,100*H9/G9-100)</f>
        <v>1.965571178440328</v>
      </c>
      <c r="I10" s="24">
        <f>IF(ISERR(100*I9/H9-100),0,100*I9/H9-100)</f>
        <v>1.9958842332836042</v>
      </c>
    </row>
    <row r="11" spans="1:13">
      <c r="A11" s="17" t="s">
        <v>33</v>
      </c>
      <c r="B11" s="23"/>
      <c r="C11" s="24"/>
      <c r="D11" s="24"/>
      <c r="E11" s="25"/>
      <c r="F11" s="24"/>
      <c r="G11" s="25"/>
      <c r="H11" s="24"/>
      <c r="I11" s="24"/>
    </row>
    <row r="12" spans="1:13">
      <c r="A12" s="16" t="s">
        <v>34</v>
      </c>
      <c r="B12" s="18">
        <f>inv!B4</f>
        <v>133469</v>
      </c>
      <c r="C12" s="26">
        <f>inv!C4</f>
        <v>157000</v>
      </c>
      <c r="D12" s="26">
        <f>[1]invyhd!$D$22</f>
        <v>124200</v>
      </c>
      <c r="E12" s="27">
        <f>inv!D4</f>
        <v>180000</v>
      </c>
      <c r="F12" s="28">
        <f>inv!E4</f>
        <v>180000</v>
      </c>
      <c r="G12" s="29">
        <f>inv!F4</f>
        <v>145</v>
      </c>
      <c r="H12" s="28">
        <f>inv!G4</f>
        <v>180</v>
      </c>
      <c r="I12" s="28">
        <f>inv!H4</f>
        <v>85</v>
      </c>
    </row>
    <row r="13" spans="1:13">
      <c r="A13" s="16" t="s">
        <v>35</v>
      </c>
      <c r="B13" s="18">
        <f>inv!B5</f>
        <v>30000</v>
      </c>
      <c r="C13" s="26">
        <f>inv!C5</f>
        <v>62800</v>
      </c>
      <c r="D13" s="26">
        <f>[1]invyhd!$D$23</f>
        <v>30000</v>
      </c>
      <c r="E13" s="27">
        <f>inv!D5</f>
        <v>72000</v>
      </c>
      <c r="F13" s="28">
        <f>inv!E5</f>
        <v>72000</v>
      </c>
      <c r="G13" s="29">
        <f>inv!F5</f>
        <v>58</v>
      </c>
      <c r="H13" s="28">
        <f>inv!G5</f>
        <v>72</v>
      </c>
      <c r="I13" s="28">
        <f>inv!H5</f>
        <v>34</v>
      </c>
    </row>
    <row r="14" spans="1:13" ht="30" customHeight="1">
      <c r="A14" s="30" t="s">
        <v>32</v>
      </c>
      <c r="B14" s="18">
        <f t="shared" ref="B14:I14" si="0">-B12+B13</f>
        <v>-103469</v>
      </c>
      <c r="C14" s="18">
        <f t="shared" si="0"/>
        <v>-94200</v>
      </c>
      <c r="D14" s="18">
        <f t="shared" si="0"/>
        <v>-94200</v>
      </c>
      <c r="E14" s="18">
        <f t="shared" si="0"/>
        <v>-108000</v>
      </c>
      <c r="F14" s="18">
        <f t="shared" si="0"/>
        <v>-108000</v>
      </c>
      <c r="G14" s="18">
        <f t="shared" si="0"/>
        <v>-87</v>
      </c>
      <c r="H14" s="18">
        <f t="shared" si="0"/>
        <v>-108</v>
      </c>
      <c r="I14" s="18">
        <f t="shared" si="0"/>
        <v>-51</v>
      </c>
    </row>
    <row r="15" spans="1:13">
      <c r="A15" s="31" t="s">
        <v>31</v>
      </c>
      <c r="B15" s="18"/>
      <c r="C15" s="18"/>
      <c r="D15" s="18"/>
      <c r="E15" s="18"/>
      <c r="F15" s="18"/>
      <c r="G15" s="18"/>
      <c r="H15" s="18"/>
      <c r="I15" s="18"/>
      <c r="J15" s="51"/>
    </row>
    <row r="16" spans="1:13">
      <c r="A16" s="32" t="s">
        <v>7</v>
      </c>
      <c r="B16" s="19"/>
      <c r="C16" s="19"/>
      <c r="D16" s="19"/>
      <c r="E16" s="19"/>
      <c r="F16" s="19"/>
      <c r="G16" s="19"/>
      <c r="H16" s="19"/>
      <c r="I16" s="19"/>
      <c r="J16" s="47"/>
      <c r="K16" s="40"/>
    </row>
    <row r="17" spans="1:11">
      <c r="A17" s="32" t="s">
        <v>4</v>
      </c>
      <c r="B17" s="33">
        <f>SUM(B18:B23)</f>
        <v>1452774.46</v>
      </c>
      <c r="C17" s="33">
        <f>SUM(C18:C23)</f>
        <v>1107546</v>
      </c>
      <c r="D17" s="33"/>
      <c r="E17" s="33">
        <f>SUM(E18:E23)</f>
        <v>1165146</v>
      </c>
      <c r="F17" s="33">
        <f>SUM(F18:F23)</f>
        <v>1165146</v>
      </c>
      <c r="G17" s="19"/>
      <c r="H17" s="19"/>
      <c r="I17" s="19"/>
      <c r="J17" s="48"/>
      <c r="K17" s="48"/>
    </row>
    <row r="18" spans="1:11">
      <c r="A18" s="34" t="s">
        <v>8</v>
      </c>
      <c r="B18" s="21">
        <v>158868.07</v>
      </c>
      <c r="C18" s="35">
        <v>88500</v>
      </c>
      <c r="D18" s="35"/>
      <c r="E18" s="35">
        <v>88500</v>
      </c>
      <c r="F18" s="18">
        <v>88500</v>
      </c>
      <c r="G18" s="18"/>
      <c r="H18" s="18"/>
      <c r="I18" s="18"/>
      <c r="J18" s="49"/>
      <c r="K18" s="50"/>
    </row>
    <row r="19" spans="1:11">
      <c r="A19" s="34" t="s">
        <v>9</v>
      </c>
      <c r="B19" s="21">
        <v>583178.18000000005</v>
      </c>
      <c r="C19" s="36">
        <v>560300</v>
      </c>
      <c r="D19" s="36"/>
      <c r="E19" s="36">
        <v>567350</v>
      </c>
      <c r="F19" s="37">
        <v>567350</v>
      </c>
      <c r="G19" s="37"/>
      <c r="H19" s="37"/>
      <c r="I19" s="37"/>
      <c r="J19" s="49"/>
      <c r="K19" s="50"/>
    </row>
    <row r="20" spans="1:11">
      <c r="A20" s="34" t="s">
        <v>10</v>
      </c>
      <c r="B20" s="21">
        <f>595978.36+44333.56</f>
        <v>640311.91999999993</v>
      </c>
      <c r="C20" s="36">
        <v>423646</v>
      </c>
      <c r="D20" s="36"/>
      <c r="E20" s="36">
        <v>453646</v>
      </c>
      <c r="F20" s="37">
        <v>466646</v>
      </c>
      <c r="G20" s="37"/>
      <c r="H20" s="37"/>
      <c r="I20" s="37"/>
      <c r="J20" s="49"/>
      <c r="K20" s="50"/>
    </row>
    <row r="21" spans="1:11">
      <c r="A21" s="34" t="s">
        <v>11</v>
      </c>
      <c r="B21" s="37"/>
      <c r="C21" s="37"/>
      <c r="D21" s="37"/>
      <c r="E21" s="37"/>
      <c r="F21" s="37"/>
      <c r="G21" s="37"/>
      <c r="H21" s="37"/>
      <c r="I21" s="37"/>
      <c r="J21" s="49"/>
      <c r="K21" s="50"/>
    </row>
    <row r="22" spans="1:11">
      <c r="A22" s="34" t="s">
        <v>12</v>
      </c>
      <c r="B22" s="21">
        <v>57078.080000000002</v>
      </c>
      <c r="C22" s="36">
        <v>35100</v>
      </c>
      <c r="D22" s="36"/>
      <c r="E22" s="36">
        <v>55650</v>
      </c>
      <c r="F22" s="37">
        <v>42650</v>
      </c>
      <c r="G22" s="37"/>
      <c r="H22" s="37"/>
      <c r="I22" s="37"/>
      <c r="J22" s="49"/>
      <c r="K22" s="50"/>
    </row>
    <row r="23" spans="1:11">
      <c r="A23" s="34" t="s">
        <v>13</v>
      </c>
      <c r="B23" s="21">
        <f>18397.13-5058.92</f>
        <v>13338.210000000001</v>
      </c>
      <c r="C23" s="36">
        <v>0</v>
      </c>
      <c r="D23" s="36"/>
      <c r="E23" s="36">
        <v>0</v>
      </c>
      <c r="F23" s="37">
        <v>0</v>
      </c>
      <c r="G23" s="37"/>
      <c r="H23" s="37"/>
      <c r="I23" s="37"/>
      <c r="J23" s="49"/>
      <c r="K23" s="36"/>
    </row>
    <row r="24" spans="1:11" ht="25.5">
      <c r="A24" s="38" t="s">
        <v>14</v>
      </c>
      <c r="B24" s="39">
        <v>0</v>
      </c>
      <c r="C24" s="40">
        <v>0</v>
      </c>
      <c r="D24" s="40"/>
      <c r="E24" s="40">
        <v>0</v>
      </c>
      <c r="F24" s="37">
        <v>0</v>
      </c>
      <c r="G24" s="37"/>
      <c r="H24" s="37"/>
      <c r="I24" s="37"/>
      <c r="J24" s="49"/>
      <c r="K24" s="36"/>
    </row>
    <row r="25" spans="1:11">
      <c r="A25" s="32" t="s">
        <v>3</v>
      </c>
      <c r="B25" s="41">
        <f>SUM(B27:B36)</f>
        <v>10534408.109999999</v>
      </c>
      <c r="C25" s="41">
        <f>SUM(C27:C36)</f>
        <v>10534052</v>
      </c>
      <c r="D25" s="41"/>
      <c r="E25" s="41">
        <f>SUM(E27:E36)</f>
        <v>10865146</v>
      </c>
      <c r="F25" s="41">
        <f>SUM(F27:F36)</f>
        <v>10871207</v>
      </c>
      <c r="G25" s="37"/>
      <c r="H25" s="37"/>
      <c r="I25" s="37"/>
      <c r="J25" s="47"/>
      <c r="K25" s="47"/>
    </row>
    <row r="26" spans="1:11">
      <c r="A26" s="34" t="s">
        <v>15</v>
      </c>
      <c r="B26" s="37"/>
      <c r="C26" s="37"/>
      <c r="D26" s="37"/>
      <c r="E26" s="37"/>
      <c r="F26" s="37"/>
      <c r="G26" s="37"/>
      <c r="H26" s="37"/>
      <c r="I26" s="37"/>
      <c r="J26" s="49"/>
      <c r="K26" s="36"/>
    </row>
    <row r="27" spans="1:11">
      <c r="A27" s="34" t="s">
        <v>16</v>
      </c>
      <c r="B27" s="21">
        <f>4469434.64-77728.71-5058.92</f>
        <v>4386647.01</v>
      </c>
      <c r="C27" s="36">
        <f>4741394+5180</f>
        <v>4746574</v>
      </c>
      <c r="D27" s="36"/>
      <c r="E27" s="36">
        <v>4948164</v>
      </c>
      <c r="F27" s="37">
        <v>4913665</v>
      </c>
      <c r="G27" s="37"/>
      <c r="H27" s="37"/>
      <c r="I27" s="37"/>
      <c r="J27" s="49"/>
      <c r="K27" s="50"/>
    </row>
    <row r="28" spans="1:11">
      <c r="A28" s="34" t="s">
        <v>17</v>
      </c>
      <c r="B28" s="21">
        <f>1111433.89</f>
        <v>1111433.8899999999</v>
      </c>
      <c r="C28" s="36">
        <f>1240738-5180</f>
        <v>1235558</v>
      </c>
      <c r="D28" s="36"/>
      <c r="E28" s="36">
        <f>985789+304807-3080</f>
        <v>1287516</v>
      </c>
      <c r="F28" s="37">
        <v>1279047</v>
      </c>
      <c r="G28" s="37"/>
      <c r="H28" s="37"/>
      <c r="I28" s="37"/>
      <c r="J28" s="49"/>
      <c r="K28" s="50"/>
    </row>
    <row r="29" spans="1:11">
      <c r="A29" s="34" t="s">
        <v>18</v>
      </c>
      <c r="B29" s="21">
        <v>1365519.42</v>
      </c>
      <c r="C29" s="36">
        <v>1241141</v>
      </c>
      <c r="D29" s="36"/>
      <c r="E29" s="36">
        <v>961362</v>
      </c>
      <c r="F29" s="37">
        <v>1010467</v>
      </c>
      <c r="G29" s="37"/>
      <c r="H29" s="37"/>
      <c r="I29" s="37"/>
      <c r="J29" s="49"/>
      <c r="K29" s="50"/>
    </row>
    <row r="30" spans="1:11">
      <c r="A30" s="34" t="s">
        <v>28</v>
      </c>
      <c r="B30" s="21">
        <v>0</v>
      </c>
      <c r="C30" s="36">
        <v>0</v>
      </c>
      <c r="D30" s="36"/>
      <c r="E30" s="36">
        <v>0</v>
      </c>
      <c r="F30" s="37">
        <v>0</v>
      </c>
      <c r="G30" s="37"/>
      <c r="H30" s="37"/>
      <c r="I30" s="37"/>
      <c r="J30" s="49"/>
      <c r="K30" s="50"/>
    </row>
    <row r="31" spans="1:11">
      <c r="A31" s="34" t="s">
        <v>19</v>
      </c>
      <c r="B31" s="21">
        <v>665656.66</v>
      </c>
      <c r="C31" s="36">
        <v>431697</v>
      </c>
      <c r="D31" s="36"/>
      <c r="E31" s="36">
        <v>414100</v>
      </c>
      <c r="F31" s="37">
        <v>414024</v>
      </c>
      <c r="G31" s="37"/>
      <c r="H31" s="37"/>
      <c r="I31" s="37"/>
      <c r="J31" s="49"/>
      <c r="K31" s="50"/>
    </row>
    <row r="32" spans="1:11">
      <c r="A32" s="34" t="s">
        <v>20</v>
      </c>
      <c r="B32" s="21">
        <v>1007364.16</v>
      </c>
      <c r="C32" s="36">
        <v>929000</v>
      </c>
      <c r="D32" s="36"/>
      <c r="E32" s="36">
        <v>979000</v>
      </c>
      <c r="F32" s="37">
        <v>979000</v>
      </c>
      <c r="G32" s="37"/>
      <c r="H32" s="37"/>
      <c r="I32" s="37"/>
      <c r="K32" s="50"/>
    </row>
    <row r="33" spans="1:11">
      <c r="A33" s="34" t="s">
        <v>21</v>
      </c>
      <c r="B33" s="37"/>
      <c r="C33" s="37"/>
      <c r="D33" s="37"/>
      <c r="E33" s="37"/>
      <c r="F33" s="37"/>
      <c r="G33" s="37"/>
      <c r="H33" s="37"/>
      <c r="I33" s="37"/>
      <c r="K33" s="50"/>
    </row>
    <row r="34" spans="1:11">
      <c r="A34" s="34" t="s">
        <v>12</v>
      </c>
      <c r="B34" s="21">
        <f>166888.29+1722897.84</f>
        <v>1889786.1300000001</v>
      </c>
      <c r="C34" s="36">
        <v>1923382</v>
      </c>
      <c r="D34" s="36"/>
      <c r="E34" s="36">
        <v>2206204</v>
      </c>
      <c r="F34" s="37">
        <v>2206204</v>
      </c>
      <c r="G34" s="37"/>
      <c r="H34" s="37"/>
      <c r="I34" s="37"/>
      <c r="J34" s="49"/>
      <c r="K34" s="50"/>
    </row>
    <row r="35" spans="1:11" hidden="1">
      <c r="A35" s="34" t="s">
        <v>29</v>
      </c>
      <c r="B35" s="21"/>
      <c r="C35" s="36"/>
      <c r="D35" s="36"/>
      <c r="E35" s="36"/>
      <c r="F35" s="37"/>
      <c r="G35" s="37"/>
      <c r="H35" s="37"/>
      <c r="I35" s="37"/>
      <c r="J35" s="49"/>
      <c r="K35" s="50"/>
    </row>
    <row r="36" spans="1:11">
      <c r="A36" s="34" t="s">
        <v>13</v>
      </c>
      <c r="B36" s="21">
        <f>27482.41+80518.43</f>
        <v>108000.84</v>
      </c>
      <c r="C36" s="36">
        <v>26700</v>
      </c>
      <c r="D36" s="36"/>
      <c r="E36" s="36">
        <v>68800</v>
      </c>
      <c r="F36" s="37">
        <v>68800</v>
      </c>
      <c r="G36" s="37"/>
      <c r="H36" s="37"/>
      <c r="I36" s="37"/>
      <c r="J36" s="49"/>
      <c r="K36" s="36"/>
    </row>
    <row r="37" spans="1:11">
      <c r="A37" s="42" t="s">
        <v>22</v>
      </c>
      <c r="B37" s="43">
        <f>+B17+B24-B25</f>
        <v>-9081633.6499999985</v>
      </c>
      <c r="C37" s="43">
        <f>+C17+C24-C25</f>
        <v>-9426506</v>
      </c>
      <c r="D37" s="43"/>
      <c r="E37" s="43">
        <f>+E17+E24-E25</f>
        <v>-9700000</v>
      </c>
      <c r="F37" s="37">
        <f>+F17+F24-F25</f>
        <v>-9706061</v>
      </c>
      <c r="G37" s="37"/>
      <c r="H37" s="37"/>
      <c r="I37" s="37"/>
      <c r="J37" s="47"/>
      <c r="K37" s="47"/>
    </row>
    <row r="38" spans="1:11">
      <c r="A38" s="34" t="s">
        <v>23</v>
      </c>
      <c r="B38" s="21">
        <v>240664.3</v>
      </c>
      <c r="C38" s="36">
        <v>218778</v>
      </c>
      <c r="D38" s="36"/>
      <c r="E38" s="36">
        <v>218778</v>
      </c>
      <c r="F38" s="37">
        <v>218778</v>
      </c>
      <c r="G38" s="37"/>
      <c r="H38" s="37"/>
      <c r="I38" s="37"/>
      <c r="J38" s="49"/>
      <c r="K38" s="36"/>
    </row>
    <row r="39" spans="1:11">
      <c r="A39" s="32" t="s">
        <v>1</v>
      </c>
      <c r="B39" s="41">
        <f>+B37-B38</f>
        <v>-9322297.9499999993</v>
      </c>
      <c r="C39" s="41">
        <f>+C37-C38</f>
        <v>-9645284</v>
      </c>
      <c r="D39" s="41"/>
      <c r="E39" s="41">
        <f>+E37-E38</f>
        <v>-9918778</v>
      </c>
      <c r="F39" s="37">
        <v>-9924840</v>
      </c>
      <c r="G39" s="37"/>
      <c r="H39" s="37"/>
      <c r="I39" s="37"/>
      <c r="J39" s="47"/>
      <c r="K39" s="47"/>
    </row>
    <row r="40" spans="1:11">
      <c r="A40" s="34" t="s">
        <v>2</v>
      </c>
      <c r="B40" s="37"/>
      <c r="C40" s="37"/>
      <c r="D40" s="37"/>
      <c r="E40" s="37"/>
      <c r="F40" s="37"/>
      <c r="G40" s="37"/>
      <c r="H40" s="37"/>
      <c r="I40" s="37"/>
      <c r="J40" s="49"/>
      <c r="K40" s="36"/>
    </row>
    <row r="41" spans="1:11">
      <c r="A41" s="34" t="s">
        <v>6</v>
      </c>
      <c r="B41" s="21">
        <v>106408.29</v>
      </c>
      <c r="C41" s="36">
        <v>0</v>
      </c>
      <c r="D41" s="36"/>
      <c r="E41" s="36">
        <v>0</v>
      </c>
      <c r="F41" s="37">
        <v>0</v>
      </c>
      <c r="G41" s="37"/>
      <c r="H41" s="37"/>
      <c r="I41" s="37"/>
      <c r="J41" s="49"/>
      <c r="K41" s="36"/>
    </row>
    <row r="42" spans="1:11">
      <c r="A42" s="34" t="s">
        <v>5</v>
      </c>
      <c r="B42" s="21">
        <v>2377114.2799999998</v>
      </c>
      <c r="C42" s="36">
        <v>2409735</v>
      </c>
      <c r="D42" s="36"/>
      <c r="E42" s="36">
        <v>2587073</v>
      </c>
      <c r="F42" s="37">
        <v>2593134</v>
      </c>
      <c r="G42" s="37"/>
      <c r="H42" s="37"/>
      <c r="I42" s="37"/>
      <c r="J42" s="49"/>
      <c r="K42" s="50"/>
    </row>
    <row r="43" spans="1:11" ht="25.5">
      <c r="A43" s="44" t="s">
        <v>36</v>
      </c>
      <c r="B43" s="5" t="str">
        <f>"TP " &amp; ots!$A$1-2 &amp; "
(€)"</f>
        <v>TP 2010
(€)</v>
      </c>
      <c r="C43" s="5" t="str">
        <f>"TA " &amp; ots!$A$1-1 &amp; "
(€)"</f>
        <v>TA 2011
(€)</v>
      </c>
      <c r="D43" s="5"/>
      <c r="E43" s="5" t="str">
        <f>"TAE " &amp; ots!$A$1 &amp; "
(€)"</f>
        <v>TAE 2012
(€)</v>
      </c>
      <c r="F43" s="37"/>
      <c r="G43" s="37"/>
      <c r="H43" s="37"/>
      <c r="I43" s="37"/>
    </row>
    <row r="44" spans="1:11">
      <c r="A44" s="15" t="s">
        <v>45</v>
      </c>
    </row>
    <row r="45" spans="1:11">
      <c r="A45" s="52" t="s">
        <v>24</v>
      </c>
      <c r="B45" s="14">
        <f>13936.8-960</f>
        <v>12976.8</v>
      </c>
      <c r="C45" s="14">
        <v>0</v>
      </c>
      <c r="E45" s="14">
        <v>0</v>
      </c>
      <c r="F45" s="14">
        <v>0</v>
      </c>
    </row>
    <row r="46" spans="1:11">
      <c r="A46" s="52" t="s">
        <v>25</v>
      </c>
      <c r="B46" s="14">
        <f>1336602.31-960</f>
        <v>1335642.31</v>
      </c>
      <c r="C46" s="14">
        <v>3121413</v>
      </c>
      <c r="E46" s="14">
        <v>3551172</v>
      </c>
      <c r="F46" s="14">
        <v>3509743</v>
      </c>
    </row>
    <row r="47" spans="1:11">
      <c r="A47" s="52" t="s">
        <v>32</v>
      </c>
      <c r="B47" s="37">
        <f>+B45-B46</f>
        <v>-1322665.51</v>
      </c>
      <c r="C47" s="37">
        <f>+C45-C46</f>
        <v>-3121413</v>
      </c>
      <c r="D47" s="37"/>
      <c r="E47" s="37">
        <f>+E45-E46</f>
        <v>-3551172</v>
      </c>
      <c r="F47" s="14">
        <f>+F45-F46</f>
        <v>-3509743</v>
      </c>
    </row>
    <row r="48" spans="1:11">
      <c r="A48" s="15" t="s">
        <v>46</v>
      </c>
    </row>
    <row r="49" spans="1:6">
      <c r="A49" s="52" t="s">
        <v>24</v>
      </c>
      <c r="B49" s="14">
        <f>173097.46+321519.77-93.2-2390.28</f>
        <v>492133.74999999994</v>
      </c>
      <c r="C49" s="14">
        <v>391500</v>
      </c>
      <c r="E49" s="14">
        <v>421500</v>
      </c>
      <c r="F49" s="14">
        <v>421500</v>
      </c>
    </row>
    <row r="50" spans="1:6">
      <c r="A50" s="52" t="s">
        <v>25</v>
      </c>
      <c r="B50" s="14">
        <f>1123006.59+1013002.25-93.2-2390.28</f>
        <v>2133525.36</v>
      </c>
      <c r="C50" s="14">
        <v>2092906</v>
      </c>
      <c r="E50" s="14">
        <v>1887329</v>
      </c>
      <c r="F50" s="14">
        <v>1915509</v>
      </c>
    </row>
    <row r="51" spans="1:6">
      <c r="A51" s="52" t="s">
        <v>32</v>
      </c>
      <c r="B51" s="37">
        <f>+B49-B50</f>
        <v>-1641391.6099999999</v>
      </c>
      <c r="C51" s="37">
        <f>+C49-C50</f>
        <v>-1701406</v>
      </c>
      <c r="D51" s="37"/>
      <c r="E51" s="37">
        <f>+E49-E50</f>
        <v>-1465829</v>
      </c>
      <c r="F51" s="14">
        <f>+F49-F50</f>
        <v>-1494009</v>
      </c>
    </row>
    <row r="52" spans="1:6">
      <c r="A52" s="15" t="s">
        <v>47</v>
      </c>
    </row>
    <row r="53" spans="1:6">
      <c r="A53" s="52" t="s">
        <v>24</v>
      </c>
      <c r="B53" s="14">
        <f>51127.91+623291.66-1615.44</f>
        <v>672804.13000000012</v>
      </c>
      <c r="C53" s="14">
        <v>716046</v>
      </c>
      <c r="E53" s="14">
        <v>743646</v>
      </c>
      <c r="F53" s="14">
        <v>743646</v>
      </c>
    </row>
    <row r="54" spans="1:6">
      <c r="A54" s="52" t="s">
        <v>25</v>
      </c>
      <c r="B54" s="14">
        <f>2409792.03+4362415.15-1615.44</f>
        <v>6770591.7399999993</v>
      </c>
      <c r="C54" s="14">
        <v>5319733</v>
      </c>
      <c r="E54" s="14">
        <v>5426645</v>
      </c>
      <c r="F54" s="14">
        <v>5445955</v>
      </c>
    </row>
    <row r="55" spans="1:6">
      <c r="A55" s="52" t="s">
        <v>32</v>
      </c>
      <c r="B55" s="37">
        <f>+B53-B54</f>
        <v>-6097787.6099999994</v>
      </c>
      <c r="C55" s="37">
        <f>+C53-C54</f>
        <v>-4603687</v>
      </c>
      <c r="D55" s="37"/>
      <c r="E55" s="37">
        <f>+E53-E54</f>
        <v>-4682999</v>
      </c>
      <c r="F55" s="14">
        <f>+F53-F54</f>
        <v>-4702309</v>
      </c>
    </row>
    <row r="56" spans="1:6">
      <c r="A56" s="15" t="s">
        <v>48</v>
      </c>
    </row>
    <row r="57" spans="1:6">
      <c r="A57" s="52" t="s">
        <v>24</v>
      </c>
      <c r="B57" s="14">
        <v>274859.78000000003</v>
      </c>
      <c r="C57" s="14">
        <v>0</v>
      </c>
      <c r="E57" s="14">
        <v>0</v>
      </c>
      <c r="F57" s="14">
        <v>0</v>
      </c>
    </row>
    <row r="58" spans="1:6">
      <c r="A58" s="52" t="s">
        <v>25</v>
      </c>
      <c r="B58" s="14">
        <v>294648.7</v>
      </c>
      <c r="C58" s="14">
        <v>0</v>
      </c>
      <c r="E58" s="14">
        <v>0</v>
      </c>
      <c r="F58" s="14">
        <v>0</v>
      </c>
    </row>
    <row r="59" spans="1:6">
      <c r="A59" s="52" t="s">
        <v>32</v>
      </c>
      <c r="B59" s="37">
        <f>+B57-B58</f>
        <v>-19788.919999999984</v>
      </c>
      <c r="C59" s="37">
        <f>+C57-C58</f>
        <v>0</v>
      </c>
      <c r="D59" s="37"/>
      <c r="E59" s="37">
        <f>+E57-E58</f>
        <v>0</v>
      </c>
      <c r="F59" s="14">
        <f>+F57-F58</f>
        <v>0</v>
      </c>
    </row>
  </sheetData>
  <phoneticPr fontId="0" type="noConversion"/>
  <pageMargins left="0.59055118110236227" right="0.19685039370078741" top="1.1811023622047245" bottom="0.78740157480314965" header="0.39370078740157483" footer="0.51181102362204722"/>
  <pageSetup paperSize="9" scale="96" firstPageNumber="2" fitToHeight="2" orientation="portrait" useFirstPageNumber="1" r:id="rId1"/>
  <headerFooter alignWithMargins="0">
    <oddHeader>&amp;R&amp;"Arial,Lihavoitu"Nuorisolautakunta</oddHeader>
  </headerFooter>
  <rowBreaks count="1" manualBreakCount="1">
    <brk id="42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1"/>
  <dimension ref="A1:H48"/>
  <sheetViews>
    <sheetView workbookViewId="0">
      <selection activeCell="H22" sqref="H22"/>
    </sheetView>
  </sheetViews>
  <sheetFormatPr defaultRowHeight="12.75"/>
  <cols>
    <col min="1" max="1" width="27.42578125" style="2" customWidth="1"/>
    <col min="2" max="8" width="8.7109375" style="2" customWidth="1"/>
    <col min="9" max="16384" width="9.140625" style="2"/>
  </cols>
  <sheetData>
    <row r="1" spans="1:8" s="4" customFormat="1" ht="51">
      <c r="B1" s="5" t="str">
        <f>"TP " &amp; ots!$A$1-2 &amp; "
(€)"</f>
        <v>TP 2010
(€)</v>
      </c>
      <c r="C1" s="5" t="str">
        <f>"TA " &amp; ots!$A$1-1 &amp; "
(€)"</f>
        <v>TA 2011
(€)</v>
      </c>
      <c r="D1" s="5" t="s">
        <v>50</v>
      </c>
      <c r="E1" s="5" t="s">
        <v>66</v>
      </c>
      <c r="F1" s="5" t="str">
        <f>"TS " &amp; ots!$A$1+1 &amp; "
(1.000 €)"</f>
        <v>TS 2013
(1.000 €)</v>
      </c>
      <c r="G1" s="5" t="str">
        <f>"TS " &amp; ots!$A$1+2 &amp; "
(1.000 €)"</f>
        <v>TS 2014
(1.000 €)</v>
      </c>
      <c r="H1" s="5" t="str">
        <f>"TS " &amp; ots!$A$1+3 &amp; "
(1.000 €)"</f>
        <v>TS 2015
(1.000 €)</v>
      </c>
    </row>
    <row r="2" spans="1:8" s="6" customFormat="1">
      <c r="A2" s="53" t="s">
        <v>49</v>
      </c>
    </row>
    <row r="3" spans="1:8" s="6" customFormat="1">
      <c r="A3" s="53" t="s">
        <v>51</v>
      </c>
    </row>
    <row r="4" spans="1:8" s="8" customFormat="1" ht="27" customHeight="1">
      <c r="A4" s="7" t="s">
        <v>40</v>
      </c>
      <c r="B4" s="4">
        <f t="shared" ref="B4:H4" si="0">+B8</f>
        <v>133469</v>
      </c>
      <c r="C4" s="4">
        <f t="shared" si="0"/>
        <v>157000</v>
      </c>
      <c r="D4" s="4">
        <f t="shared" si="0"/>
        <v>180000</v>
      </c>
      <c r="E4" s="4">
        <f t="shared" si="0"/>
        <v>180000</v>
      </c>
      <c r="F4" s="4">
        <f t="shared" si="0"/>
        <v>145</v>
      </c>
      <c r="G4" s="4">
        <f t="shared" si="0"/>
        <v>180</v>
      </c>
      <c r="H4" s="4">
        <f t="shared" si="0"/>
        <v>85</v>
      </c>
    </row>
    <row r="5" spans="1:8" s="8" customFormat="1">
      <c r="A5" s="7" t="s">
        <v>41</v>
      </c>
      <c r="B5" s="4">
        <f t="shared" ref="B5:H5" si="1">+B20+B21</f>
        <v>30000</v>
      </c>
      <c r="C5" s="4">
        <f t="shared" si="1"/>
        <v>62800</v>
      </c>
      <c r="D5" s="4">
        <f t="shared" si="1"/>
        <v>72000</v>
      </c>
      <c r="E5" s="4">
        <f t="shared" si="1"/>
        <v>72000</v>
      </c>
      <c r="F5" s="4">
        <f t="shared" si="1"/>
        <v>58</v>
      </c>
      <c r="G5" s="4">
        <f t="shared" si="1"/>
        <v>72</v>
      </c>
      <c r="H5" s="4">
        <f t="shared" si="1"/>
        <v>34</v>
      </c>
    </row>
    <row r="6" spans="1:8" s="8" customFormat="1">
      <c r="A6" s="7" t="s">
        <v>42</v>
      </c>
      <c r="B6" s="4">
        <f t="shared" ref="B6:H6" si="2">B5-B4</f>
        <v>-103469</v>
      </c>
      <c r="C6" s="4">
        <f t="shared" si="2"/>
        <v>-94200</v>
      </c>
      <c r="D6" s="4">
        <f t="shared" si="2"/>
        <v>-108000</v>
      </c>
      <c r="E6" s="4">
        <f t="shared" si="2"/>
        <v>-108000</v>
      </c>
      <c r="F6" s="4">
        <f t="shared" si="2"/>
        <v>-87</v>
      </c>
      <c r="G6" s="4">
        <f t="shared" si="2"/>
        <v>-108</v>
      </c>
      <c r="H6" s="4">
        <f t="shared" si="2"/>
        <v>-51</v>
      </c>
    </row>
    <row r="7" spans="1:8" s="1" customFormat="1" ht="21" customHeight="1">
      <c r="A7" s="9" t="s">
        <v>34</v>
      </c>
      <c r="B7" s="3"/>
      <c r="C7" s="3"/>
      <c r="D7" s="3"/>
      <c r="E7" s="3"/>
      <c r="F7" s="3"/>
      <c r="G7" s="3"/>
      <c r="H7" s="3"/>
    </row>
    <row r="8" spans="1:8" s="1" customFormat="1">
      <c r="A8" s="9" t="s">
        <v>52</v>
      </c>
      <c r="B8" s="3">
        <f t="shared" ref="B8:G8" si="3">SUM(B9:B18)</f>
        <v>133469</v>
      </c>
      <c r="C8" s="3">
        <f t="shared" si="3"/>
        <v>157000</v>
      </c>
      <c r="D8" s="3">
        <f t="shared" si="3"/>
        <v>180000</v>
      </c>
      <c r="E8" s="3">
        <f t="shared" si="3"/>
        <v>180000</v>
      </c>
      <c r="F8" s="3">
        <f t="shared" si="3"/>
        <v>145</v>
      </c>
      <c r="G8" s="3">
        <f t="shared" si="3"/>
        <v>180</v>
      </c>
      <c r="H8" s="3">
        <f>SUM(H9:H18)</f>
        <v>85</v>
      </c>
    </row>
    <row r="9" spans="1:8" s="1" customFormat="1">
      <c r="A9" s="9" t="s">
        <v>53</v>
      </c>
    </row>
    <row r="10" spans="1:8" s="1" customFormat="1">
      <c r="A10" s="9" t="s">
        <v>54</v>
      </c>
    </row>
    <row r="11" spans="1:8" s="1" customFormat="1">
      <c r="A11" s="9" t="s">
        <v>55</v>
      </c>
    </row>
    <row r="12" spans="1:8" s="1" customFormat="1">
      <c r="A12" s="9" t="s">
        <v>56</v>
      </c>
      <c r="B12" s="1">
        <v>133469</v>
      </c>
      <c r="C12" s="1">
        <v>157000</v>
      </c>
      <c r="D12" s="1">
        <v>180000</v>
      </c>
      <c r="E12" s="1">
        <v>180000</v>
      </c>
      <c r="F12" s="1">
        <v>145</v>
      </c>
      <c r="G12" s="1">
        <v>180</v>
      </c>
      <c r="H12" s="1">
        <v>85</v>
      </c>
    </row>
    <row r="13" spans="1:8" s="1" customFormat="1">
      <c r="A13" s="9" t="s">
        <v>57</v>
      </c>
    </row>
    <row r="14" spans="1:8" s="1" customFormat="1">
      <c r="A14" s="9" t="s">
        <v>58</v>
      </c>
    </row>
    <row r="15" spans="1:8" s="1" customFormat="1">
      <c r="A15" s="9" t="s">
        <v>59</v>
      </c>
    </row>
    <row r="16" spans="1:8" s="1" customFormat="1">
      <c r="A16" s="9" t="s">
        <v>60</v>
      </c>
    </row>
    <row r="17" spans="1:8" s="1" customFormat="1">
      <c r="A17" s="9" t="s">
        <v>61</v>
      </c>
    </row>
    <row r="18" spans="1:8" s="1" customFormat="1">
      <c r="A18" s="9" t="s">
        <v>62</v>
      </c>
    </row>
    <row r="19" spans="1:8" s="1" customFormat="1" ht="25.5" customHeight="1">
      <c r="A19" s="9" t="s">
        <v>35</v>
      </c>
      <c r="B19" s="3"/>
      <c r="C19" s="3"/>
      <c r="D19" s="3"/>
      <c r="E19" s="3"/>
      <c r="F19" s="3"/>
      <c r="G19" s="3"/>
    </row>
    <row r="20" spans="1:8" s="1" customFormat="1" ht="25.5">
      <c r="A20" s="10" t="s">
        <v>63</v>
      </c>
      <c r="B20" s="1">
        <v>30000</v>
      </c>
      <c r="C20" s="1">
        <v>62800</v>
      </c>
      <c r="D20" s="1">
        <v>72000</v>
      </c>
      <c r="E20" s="1">
        <v>72000</v>
      </c>
      <c r="F20" s="1">
        <v>58</v>
      </c>
      <c r="G20" s="1">
        <v>72</v>
      </c>
      <c r="H20" s="1">
        <v>34</v>
      </c>
    </row>
    <row r="21" spans="1:8" s="1" customFormat="1" ht="25.5">
      <c r="A21" s="10" t="s">
        <v>64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1:8" s="1" customFormat="1" ht="38.25">
      <c r="A22" s="10" t="s">
        <v>43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</row>
    <row r="23" spans="1:8">
      <c r="B23" s="3"/>
      <c r="C23" s="3"/>
      <c r="D23" s="3"/>
      <c r="E23" s="3"/>
      <c r="F23" s="3"/>
      <c r="G23" s="3"/>
    </row>
    <row r="24" spans="1:8">
      <c r="B24" s="3"/>
      <c r="C24" s="3"/>
      <c r="D24" s="3"/>
      <c r="E24" s="3"/>
      <c r="F24" s="3"/>
      <c r="G24" s="3"/>
    </row>
    <row r="25" spans="1:8">
      <c r="B25" s="3"/>
      <c r="C25" s="3"/>
      <c r="D25" s="3"/>
      <c r="E25" s="3"/>
      <c r="F25" s="3"/>
      <c r="G25" s="3"/>
    </row>
    <row r="26" spans="1:8">
      <c r="B26" s="3"/>
      <c r="C26" s="3"/>
      <c r="D26" s="3"/>
      <c r="E26" s="3"/>
      <c r="F26" s="3"/>
      <c r="G26" s="3"/>
    </row>
    <row r="27" spans="1:8">
      <c r="B27" s="3"/>
      <c r="C27" s="3"/>
      <c r="D27" s="3"/>
      <c r="E27" s="3"/>
      <c r="F27" s="3"/>
      <c r="G27" s="3"/>
    </row>
    <row r="28" spans="1:8">
      <c r="B28" s="3"/>
      <c r="C28" s="3"/>
      <c r="D28" s="3"/>
      <c r="E28" s="3"/>
      <c r="F28" s="3"/>
      <c r="G28" s="3"/>
    </row>
    <row r="29" spans="1:8">
      <c r="B29" s="3"/>
      <c r="C29" s="3"/>
      <c r="D29" s="3"/>
      <c r="E29" s="3"/>
      <c r="F29" s="3"/>
      <c r="G29" s="3"/>
    </row>
    <row r="30" spans="1:8">
      <c r="B30" s="3"/>
      <c r="C30" s="3"/>
      <c r="D30" s="3"/>
      <c r="E30" s="3"/>
      <c r="F30" s="3"/>
      <c r="G30" s="3"/>
    </row>
    <row r="31" spans="1:8">
      <c r="B31" s="3"/>
      <c r="C31" s="3"/>
      <c r="D31" s="3"/>
      <c r="E31" s="3"/>
      <c r="F31" s="3"/>
      <c r="G31" s="3"/>
    </row>
    <row r="32" spans="1:8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</sheetData>
  <phoneticPr fontId="0" type="noConversion"/>
  <printOptions gridLines="1" gridLinesSet="0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/>
  </sheetViews>
  <sheetFormatPr defaultRowHeight="12.75"/>
  <sheetData>
    <row r="1" spans="1:1">
      <c r="A1">
        <v>2012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54" t="s">
        <v>67</v>
      </c>
      <c r="C1" s="54"/>
      <c r="D1" s="60"/>
      <c r="E1" s="60"/>
      <c r="F1" s="60"/>
    </row>
    <row r="2" spans="2:6">
      <c r="B2" s="54" t="s">
        <v>68</v>
      </c>
      <c r="C2" s="54"/>
      <c r="D2" s="60"/>
      <c r="E2" s="60"/>
      <c r="F2" s="60"/>
    </row>
    <row r="3" spans="2:6">
      <c r="B3" s="55"/>
      <c r="C3" s="55"/>
      <c r="D3" s="61"/>
      <c r="E3" s="61"/>
      <c r="F3" s="61"/>
    </row>
    <row r="4" spans="2:6" ht="38.25">
      <c r="B4" s="55" t="s">
        <v>69</v>
      </c>
      <c r="C4" s="55"/>
      <c r="D4" s="61"/>
      <c r="E4" s="61"/>
      <c r="F4" s="61"/>
    </row>
    <row r="5" spans="2:6">
      <c r="B5" s="55"/>
      <c r="C5" s="55"/>
      <c r="D5" s="61"/>
      <c r="E5" s="61"/>
      <c r="F5" s="61"/>
    </row>
    <row r="6" spans="2:6" ht="25.5">
      <c r="B6" s="54" t="s">
        <v>70</v>
      </c>
      <c r="C6" s="54"/>
      <c r="D6" s="60"/>
      <c r="E6" s="60" t="s">
        <v>71</v>
      </c>
      <c r="F6" s="60" t="s">
        <v>72</v>
      </c>
    </row>
    <row r="7" spans="2:6" ht="13.5" thickBot="1">
      <c r="B7" s="55"/>
      <c r="C7" s="55"/>
      <c r="D7" s="61"/>
      <c r="E7" s="61"/>
      <c r="F7" s="61"/>
    </row>
    <row r="8" spans="2:6" ht="38.25">
      <c r="B8" s="56" t="s">
        <v>73</v>
      </c>
      <c r="C8" s="57"/>
      <c r="D8" s="62"/>
      <c r="E8" s="62">
        <v>2</v>
      </c>
      <c r="F8" s="63"/>
    </row>
    <row r="9" spans="2:6" ht="13.5" thickBot="1">
      <c r="B9" s="58"/>
      <c r="C9" s="59"/>
      <c r="D9" s="64"/>
      <c r="E9" s="65" t="s">
        <v>74</v>
      </c>
      <c r="F9" s="66" t="s">
        <v>75</v>
      </c>
    </row>
    <row r="10" spans="2:6">
      <c r="B10" s="55"/>
      <c r="C10" s="55"/>
      <c r="D10" s="61"/>
      <c r="E10" s="61"/>
      <c r="F10" s="61"/>
    </row>
    <row r="11" spans="2:6">
      <c r="B11" s="55"/>
      <c r="C11" s="55"/>
      <c r="D11" s="61"/>
      <c r="E11" s="61"/>
      <c r="F11" s="61"/>
    </row>
  </sheetData>
  <hyperlinks>
    <hyperlink ref="E9" location="'te54'!D12:D13" display="'te54'!D12: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te54</vt:lpstr>
      <vt:lpstr>inv</vt:lpstr>
      <vt:lpstr>ots</vt:lpstr>
      <vt:lpstr>Yhteensopivuusraportti</vt:lpstr>
      <vt:lpstr>tulosalue</vt:lpstr>
      <vt:lpstr>tulostus</vt:lpstr>
      <vt:lpstr>inv!Tulostusalue</vt:lpstr>
      <vt:lpstr>'te54'!Tulostusalue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Talousarvioehdotus 2002 - lyhyt pohja</dc:title>
  <dc:subject>TA-kirjaan siirtyvä osa</dc:subject>
  <dc:creator>Suuno</dc:creator>
  <cp:lastModifiedBy>Lundgren Tiina-Mari</cp:lastModifiedBy>
  <cp:lastPrinted>2011-12-05T13:11:18Z</cp:lastPrinted>
  <dcterms:created xsi:type="dcterms:W3CDTF">1999-04-09T08:04:14Z</dcterms:created>
  <dcterms:modified xsi:type="dcterms:W3CDTF">2011-12-08T13:17:55Z</dcterms:modified>
</cp:coreProperties>
</file>