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-3960" yWindow="-60" windowWidth="15480" windowHeight="11640"/>
  </bookViews>
  <sheets>
    <sheet name="Käyttötalousosa" sheetId="7" r:id="rId1"/>
    <sheet name="I" sheetId="37" r:id="rId2"/>
    <sheet name="P" sheetId="38" r:id="rId3"/>
  </sheets>
  <definedNames>
    <definedName name="EV__EVCOM_OPTIONS__" hidden="1">8</definedName>
    <definedName name="EV__EXPOPTIONS__" hidden="1">1</definedName>
    <definedName name="EV__LASTREFTIME__" hidden="1">"(GMT+02:00)14.9.2012 11:32:10"</definedName>
    <definedName name="Ev__LimitedCV" localSheetId="0" hidden="1">"Application:TKU_MÄÄRÄRAHA|Application:TKU_MÄÄRÄRAHA|Tili:482000|Tyyppi:TO_EHD|Measures:PERIODIC"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_xlnm.Print_Area" localSheetId="0">Käyttötalousosa!$I$72:$T$149</definedName>
    <definedName name="_xlnm.Print_Titles" localSheetId="0">Käyttötalousosa!$76:$77</definedName>
  </definedNames>
  <calcPr calcId="145621"/>
</workbook>
</file>

<file path=xl/calcChain.xml><?xml version="1.0" encoding="utf-8"?>
<calcChain xmlns="http://schemas.openxmlformats.org/spreadsheetml/2006/main">
  <c r="T129" i="7" l="1"/>
  <c r="S129" i="7"/>
  <c r="R129" i="7"/>
  <c r="Q129" i="7"/>
  <c r="T128" i="7"/>
  <c r="S128" i="7"/>
  <c r="R128" i="7"/>
  <c r="Q128" i="7"/>
  <c r="T127" i="7"/>
  <c r="S127" i="7"/>
  <c r="R127" i="7"/>
  <c r="Q127" i="7"/>
  <c r="T126" i="7"/>
  <c r="S126" i="7"/>
  <c r="R126" i="7"/>
  <c r="Q126" i="7"/>
  <c r="T125" i="7"/>
  <c r="S125" i="7"/>
  <c r="R125" i="7"/>
  <c r="Q125" i="7"/>
  <c r="T119" i="7"/>
  <c r="S119" i="7"/>
  <c r="R119" i="7"/>
  <c r="Q119" i="7"/>
  <c r="T118" i="7"/>
  <c r="S118" i="7"/>
  <c r="R118" i="7"/>
  <c r="Q118" i="7"/>
  <c r="T117" i="7"/>
  <c r="S117" i="7"/>
  <c r="R117" i="7"/>
  <c r="Q117" i="7"/>
  <c r="T116" i="7"/>
  <c r="S116" i="7"/>
  <c r="R116" i="7"/>
  <c r="Q116" i="7"/>
  <c r="T115" i="7"/>
  <c r="S115" i="7"/>
  <c r="R115" i="7"/>
  <c r="Q115" i="7"/>
  <c r="T114" i="7"/>
  <c r="S114" i="7"/>
  <c r="R114" i="7"/>
  <c r="Q114" i="7"/>
  <c r="T113" i="7"/>
  <c r="S113" i="7"/>
  <c r="R113" i="7"/>
  <c r="Q113" i="7"/>
  <c r="T111" i="7"/>
  <c r="S111" i="7"/>
  <c r="R111" i="7"/>
  <c r="Q111" i="7"/>
  <c r="T110" i="7"/>
  <c r="S110" i="7"/>
  <c r="R110" i="7"/>
  <c r="Q110" i="7"/>
  <c r="T109" i="7"/>
  <c r="S109" i="7"/>
  <c r="R109" i="7"/>
  <c r="Q109" i="7"/>
  <c r="P108" i="7"/>
  <c r="O108" i="7"/>
  <c r="T107" i="7"/>
  <c r="S107" i="7"/>
  <c r="R107" i="7"/>
  <c r="T106" i="7"/>
  <c r="S106" i="7"/>
  <c r="R106" i="7"/>
  <c r="T103" i="7"/>
  <c r="S103" i="7"/>
  <c r="R103" i="7"/>
  <c r="Q103" i="7"/>
  <c r="P101" i="7"/>
  <c r="O101" i="7"/>
  <c r="T99" i="7"/>
  <c r="S99" i="7"/>
  <c r="R99" i="7"/>
  <c r="Q99" i="7"/>
  <c r="T98" i="7"/>
  <c r="S98" i="7"/>
  <c r="R98" i="7"/>
  <c r="Q98" i="7"/>
  <c r="T97" i="7"/>
  <c r="S97" i="7"/>
  <c r="R97" i="7"/>
  <c r="Q97" i="7"/>
  <c r="T96" i="7"/>
  <c r="S96" i="7"/>
  <c r="R96" i="7"/>
  <c r="Q96" i="7"/>
  <c r="T95" i="7"/>
  <c r="S95" i="7"/>
  <c r="S101" i="7" s="1"/>
  <c r="R95" i="7"/>
  <c r="Q95" i="7"/>
  <c r="T92" i="7"/>
  <c r="S92" i="7"/>
  <c r="R92" i="7"/>
  <c r="Q92" i="7"/>
  <c r="P92" i="7"/>
  <c r="O92" i="7"/>
  <c r="L92" i="7"/>
  <c r="J92" i="7"/>
  <c r="T91" i="7"/>
  <c r="S91" i="7"/>
  <c r="S93" i="7" s="1"/>
  <c r="R91" i="7"/>
  <c r="R93" i="7" s="1"/>
  <c r="Q91" i="7"/>
  <c r="Q93" i="7" s="1"/>
  <c r="P91" i="7"/>
  <c r="O91" i="7"/>
  <c r="O93" i="7" s="1"/>
  <c r="L91" i="7"/>
  <c r="L93" i="7" s="1"/>
  <c r="J91" i="7"/>
  <c r="J93" i="7" s="1"/>
  <c r="T85" i="7"/>
  <c r="S85" i="7"/>
  <c r="R85" i="7"/>
  <c r="O85" i="7"/>
  <c r="Q85" i="7" s="1"/>
  <c r="Q129" i="37"/>
  <c r="Q128" i="37"/>
  <c r="Q127" i="37"/>
  <c r="Q126" i="37"/>
  <c r="Q125" i="37"/>
  <c r="Q119" i="37"/>
  <c r="Q118" i="37"/>
  <c r="Q117" i="37"/>
  <c r="Q116" i="37"/>
  <c r="Q115" i="37"/>
  <c r="Q114" i="37"/>
  <c r="Q113" i="37"/>
  <c r="Q111" i="37"/>
  <c r="Q110" i="37" s="1"/>
  <c r="Q109" i="37" s="1"/>
  <c r="Q108" i="37" s="1"/>
  <c r="T108" i="37"/>
  <c r="T108" i="7" s="1"/>
  <c r="S108" i="37"/>
  <c r="S108" i="7" s="1"/>
  <c r="R108" i="37"/>
  <c r="R108" i="7" s="1"/>
  <c r="P108" i="37"/>
  <c r="O108" i="37"/>
  <c r="N108" i="37"/>
  <c r="T106" i="37"/>
  <c r="S106" i="37"/>
  <c r="S105" i="37" s="1"/>
  <c r="R106" i="37"/>
  <c r="T105" i="37"/>
  <c r="T105" i="7" s="1"/>
  <c r="R105" i="37"/>
  <c r="R105" i="7" s="1"/>
  <c r="R121" i="7" s="1"/>
  <c r="Q103" i="37"/>
  <c r="T101" i="37"/>
  <c r="S101" i="37"/>
  <c r="R101" i="37"/>
  <c r="P101" i="37"/>
  <c r="O101" i="37"/>
  <c r="N101" i="37"/>
  <c r="Q100" i="37"/>
  <c r="Q99" i="37"/>
  <c r="Q98" i="37"/>
  <c r="Q97" i="37"/>
  <c r="Q96" i="37"/>
  <c r="Q95" i="37"/>
  <c r="Q90" i="37"/>
  <c r="M88" i="37"/>
  <c r="I41" i="38"/>
  <c r="I39" i="38"/>
  <c r="I129" i="7"/>
  <c r="I128" i="7"/>
  <c r="I127" i="7"/>
  <c r="I126" i="7"/>
  <c r="I125" i="7"/>
  <c r="I123" i="7"/>
  <c r="I121" i="7"/>
  <c r="I119" i="7"/>
  <c r="I118" i="7"/>
  <c r="I117" i="7"/>
  <c r="I116" i="7"/>
  <c r="I115" i="7"/>
  <c r="I114" i="7"/>
  <c r="I113" i="7"/>
  <c r="I111" i="7"/>
  <c r="I110" i="7"/>
  <c r="I109" i="7"/>
  <c r="I106" i="7"/>
  <c r="I105" i="7"/>
  <c r="I103" i="7"/>
  <c r="I40" i="38"/>
  <c r="I99" i="7"/>
  <c r="I98" i="7"/>
  <c r="I97" i="7"/>
  <c r="I96" i="7"/>
  <c r="I95" i="7"/>
  <c r="I93" i="7"/>
  <c r="I92" i="7"/>
  <c r="I91" i="7"/>
  <c r="I85" i="7"/>
  <c r="I129" i="37"/>
  <c r="I128" i="37"/>
  <c r="I127" i="37"/>
  <c r="I126" i="37"/>
  <c r="I125" i="37"/>
  <c r="I123" i="37"/>
  <c r="I121" i="37"/>
  <c r="I119" i="37"/>
  <c r="I118" i="37"/>
  <c r="I117" i="37"/>
  <c r="I116" i="37"/>
  <c r="I105" i="37"/>
  <c r="I103" i="37"/>
  <c r="I99" i="37"/>
  <c r="I98" i="37"/>
  <c r="I97" i="37"/>
  <c r="I96" i="37"/>
  <c r="I95" i="37"/>
  <c r="I93" i="37"/>
  <c r="I92" i="37"/>
  <c r="I91" i="37"/>
  <c r="I85" i="37"/>
  <c r="I86" i="7"/>
  <c r="I115" i="37"/>
  <c r="I114" i="37"/>
  <c r="I113" i="37"/>
  <c r="I111" i="37"/>
  <c r="I110" i="37"/>
  <c r="I109" i="37"/>
  <c r="I107" i="37"/>
  <c r="I86" i="37"/>
  <c r="T121" i="7" l="1"/>
  <c r="Q101" i="7"/>
  <c r="Q108" i="7"/>
  <c r="P93" i="7"/>
  <c r="T93" i="7"/>
  <c r="Q101" i="37"/>
  <c r="S105" i="7"/>
  <c r="S121" i="7" s="1"/>
  <c r="S123" i="7" s="1"/>
  <c r="S131" i="7" s="1"/>
  <c r="S121" i="37"/>
  <c r="S86" i="37" s="1"/>
  <c r="R121" i="37"/>
  <c r="R86" i="37" s="1"/>
  <c r="S123" i="37"/>
  <c r="S131" i="37" s="1"/>
  <c r="T121" i="37"/>
  <c r="T86" i="37" s="1"/>
  <c r="R101" i="7"/>
  <c r="R123" i="7" s="1"/>
  <c r="R131" i="7" s="1"/>
  <c r="T101" i="7"/>
  <c r="T123" i="7" s="1"/>
  <c r="T131" i="7" s="1"/>
  <c r="R6" i="7"/>
  <c r="T27" i="7"/>
  <c r="S27" i="7"/>
  <c r="R27" i="7"/>
  <c r="R27" i="37"/>
  <c r="R29" i="37"/>
  <c r="R29" i="7" s="1"/>
  <c r="L13" i="7"/>
  <c r="L12" i="7"/>
  <c r="J13" i="7"/>
  <c r="J12" i="7"/>
  <c r="T13" i="7"/>
  <c r="T12" i="7"/>
  <c r="S13" i="7"/>
  <c r="S12" i="7"/>
  <c r="R13" i="7"/>
  <c r="R12" i="7"/>
  <c r="O13" i="7"/>
  <c r="O12" i="7"/>
  <c r="Q13" i="7"/>
  <c r="P13" i="7"/>
  <c r="Q12" i="7"/>
  <c r="P12" i="7"/>
  <c r="T41" i="38"/>
  <c r="S41" i="38"/>
  <c r="R41" i="38"/>
  <c r="P41" i="38"/>
  <c r="O41" i="38"/>
  <c r="N41" i="38"/>
  <c r="L41" i="38"/>
  <c r="K41" i="38"/>
  <c r="J41" i="38"/>
  <c r="Q38" i="38"/>
  <c r="J57" i="38"/>
  <c r="J45" i="38"/>
  <c r="R28" i="7"/>
  <c r="S28" i="7"/>
  <c r="T28" i="7"/>
  <c r="T27" i="37"/>
  <c r="S27" i="37"/>
  <c r="T24" i="7"/>
  <c r="T29" i="37"/>
  <c r="T29" i="7" s="1"/>
  <c r="S24" i="7"/>
  <c r="S29" i="37"/>
  <c r="R24" i="7"/>
  <c r="O22" i="7"/>
  <c r="O6" i="7" s="1"/>
  <c r="Q6" i="7" s="1"/>
  <c r="Q30" i="7"/>
  <c r="Q31" i="7"/>
  <c r="Q32" i="7"/>
  <c r="P29" i="7"/>
  <c r="O29" i="7"/>
  <c r="Q24" i="7"/>
  <c r="Q34" i="7"/>
  <c r="Q37" i="7"/>
  <c r="Q38" i="7"/>
  <c r="Q39" i="7"/>
  <c r="Q40" i="7"/>
  <c r="D16" i="7"/>
  <c r="R47" i="7"/>
  <c r="S47" i="7"/>
  <c r="T47" i="7"/>
  <c r="R48" i="7"/>
  <c r="S48" i="7"/>
  <c r="T48" i="7"/>
  <c r="R49" i="7"/>
  <c r="S49" i="7"/>
  <c r="T49" i="7"/>
  <c r="R50" i="7"/>
  <c r="S50" i="7"/>
  <c r="T50" i="7"/>
  <c r="S46" i="7"/>
  <c r="T46" i="7"/>
  <c r="R46" i="7"/>
  <c r="N29" i="37"/>
  <c r="N22" i="37"/>
  <c r="O29" i="37"/>
  <c r="O22" i="37"/>
  <c r="P29" i="37"/>
  <c r="P22" i="37"/>
  <c r="Q34" i="37"/>
  <c r="Q37" i="37"/>
  <c r="Q38" i="37"/>
  <c r="Q39" i="37"/>
  <c r="K91" i="7" s="1"/>
  <c r="Q40" i="37"/>
  <c r="K92" i="7" s="1"/>
  <c r="Q24" i="37"/>
  <c r="Q48" i="37"/>
  <c r="Q49" i="37"/>
  <c r="Q50" i="37"/>
  <c r="Q47" i="37"/>
  <c r="Q46" i="37"/>
  <c r="R22" i="37"/>
  <c r="S22" i="37"/>
  <c r="T22" i="37"/>
  <c r="P22" i="7"/>
  <c r="Q22" i="7" s="1"/>
  <c r="Q48" i="7"/>
  <c r="Q49" i="7"/>
  <c r="Q50" i="7"/>
  <c r="Q47" i="7"/>
  <c r="Q46" i="7"/>
  <c r="R16" i="7"/>
  <c r="R17" i="7"/>
  <c r="R18" i="7"/>
  <c r="R19" i="7"/>
  <c r="R20" i="7"/>
  <c r="R34" i="7"/>
  <c r="R37" i="7"/>
  <c r="R38" i="7"/>
  <c r="R39" i="7"/>
  <c r="R40" i="7"/>
  <c r="S16" i="7"/>
  <c r="S17" i="7"/>
  <c r="S18" i="7"/>
  <c r="S19" i="7"/>
  <c r="S20" i="7"/>
  <c r="S34" i="7"/>
  <c r="S37" i="7"/>
  <c r="S38" i="7"/>
  <c r="S39" i="7"/>
  <c r="S40" i="7"/>
  <c r="T16" i="7"/>
  <c r="T17" i="7"/>
  <c r="T18" i="7"/>
  <c r="T19" i="7"/>
  <c r="T20" i="7"/>
  <c r="T34" i="7"/>
  <c r="T37" i="7"/>
  <c r="T38" i="7"/>
  <c r="T39" i="7"/>
  <c r="T40" i="7"/>
  <c r="T36" i="7"/>
  <c r="S36" i="7"/>
  <c r="R36" i="7"/>
  <c r="T35" i="7"/>
  <c r="S35" i="7"/>
  <c r="R35" i="7"/>
  <c r="T32" i="7"/>
  <c r="S32" i="7"/>
  <c r="R32" i="7"/>
  <c r="T31" i="7"/>
  <c r="S31" i="7"/>
  <c r="R31" i="7"/>
  <c r="T30" i="7"/>
  <c r="S30" i="7"/>
  <c r="R30" i="7"/>
  <c r="S29" i="7"/>
  <c r="Q16" i="37"/>
  <c r="Q17" i="37"/>
  <c r="J149" i="37"/>
  <c r="J137" i="37"/>
  <c r="Q36" i="37"/>
  <c r="Q35" i="37"/>
  <c r="Q21" i="37"/>
  <c r="Q20" i="37"/>
  <c r="Q19" i="37"/>
  <c r="Q18" i="37"/>
  <c r="Q11" i="37"/>
  <c r="M9" i="37"/>
  <c r="Q35" i="7"/>
  <c r="Q36" i="7"/>
  <c r="Q20" i="7"/>
  <c r="Q19" i="7"/>
  <c r="Q18" i="7"/>
  <c r="Q17" i="7"/>
  <c r="Q16" i="7"/>
  <c r="J149" i="7"/>
  <c r="J137" i="7"/>
  <c r="S6" i="7"/>
  <c r="T6" i="7"/>
  <c r="K13" i="7"/>
  <c r="R26" i="37"/>
  <c r="R42" i="37" s="1"/>
  <c r="Q32" i="37"/>
  <c r="Q31" i="37" s="1"/>
  <c r="Q30" i="37" s="1"/>
  <c r="Q29" i="37" s="1"/>
  <c r="Q22" i="37"/>
  <c r="T26" i="37"/>
  <c r="T42" i="37" s="1"/>
  <c r="K12" i="7"/>
  <c r="L14" i="7"/>
  <c r="M41" i="38"/>
  <c r="R26" i="7"/>
  <c r="R42" i="7" s="1"/>
  <c r="R14" i="7"/>
  <c r="T14" i="7"/>
  <c r="S22" i="7"/>
  <c r="Q29" i="7"/>
  <c r="S26" i="37"/>
  <c r="S42" i="37" s="1"/>
  <c r="Q14" i="7"/>
  <c r="Q41" i="38"/>
  <c r="P14" i="7"/>
  <c r="O14" i="7"/>
  <c r="S14" i="7"/>
  <c r="J14" i="7"/>
  <c r="T22" i="7"/>
  <c r="R22" i="7"/>
  <c r="T26" i="7"/>
  <c r="T42" i="7" s="1"/>
  <c r="T44" i="7" s="1"/>
  <c r="T52" i="7" s="1"/>
  <c r="S26" i="7"/>
  <c r="S42" i="7" s="1"/>
  <c r="S44" i="7" s="1"/>
  <c r="S52" i="7" s="1"/>
  <c r="B21" i="38"/>
  <c r="J18" i="38"/>
  <c r="J13" i="38"/>
  <c r="I25" i="38"/>
  <c r="B17" i="38"/>
  <c r="F71" i="7"/>
  <c r="H80" i="7"/>
  <c r="I20" i="7"/>
  <c r="I39" i="7"/>
  <c r="I27" i="7"/>
  <c r="I44" i="7"/>
  <c r="I17" i="7"/>
  <c r="I69" i="7"/>
  <c r="I37" i="7"/>
  <c r="I68" i="7"/>
  <c r="I19" i="7"/>
  <c r="I40" i="7"/>
  <c r="I38" i="7"/>
  <c r="J68" i="7"/>
  <c r="I63" i="7"/>
  <c r="I32" i="7"/>
  <c r="B67" i="7"/>
  <c r="J59" i="7"/>
  <c r="I67" i="7"/>
  <c r="I14" i="7"/>
  <c r="J67" i="7"/>
  <c r="I6" i="7"/>
  <c r="I64" i="7"/>
  <c r="I30" i="7"/>
  <c r="I46" i="7"/>
  <c r="I24" i="7"/>
  <c r="J148" i="7"/>
  <c r="I50" i="37"/>
  <c r="I13" i="37"/>
  <c r="I14" i="37"/>
  <c r="I24" i="37"/>
  <c r="I6" i="37"/>
  <c r="I34" i="37"/>
  <c r="I17" i="37"/>
  <c r="I19" i="37"/>
  <c r="I71" i="37"/>
  <c r="I49" i="37"/>
  <c r="I31" i="37"/>
  <c r="I48" i="37"/>
  <c r="I20" i="37"/>
  <c r="J148" i="37"/>
  <c r="B67" i="37"/>
  <c r="B63" i="37"/>
  <c r="I26" i="37"/>
  <c r="I28" i="37"/>
  <c r="E82" i="7"/>
  <c r="A1" i="38"/>
  <c r="B16" i="38"/>
  <c r="B15" i="38"/>
  <c r="B62" i="37"/>
  <c r="H34" i="38"/>
  <c r="I8" i="38"/>
  <c r="J56" i="38"/>
  <c r="I6" i="38"/>
  <c r="F25" i="38"/>
  <c r="I7" i="38"/>
  <c r="I71" i="7"/>
  <c r="I31" i="7"/>
  <c r="I42" i="7"/>
  <c r="I47" i="7"/>
  <c r="I36" i="7"/>
  <c r="I26" i="7"/>
  <c r="I34" i="7"/>
  <c r="I61" i="7"/>
  <c r="I62" i="7"/>
  <c r="B62" i="7"/>
  <c r="I66" i="7"/>
  <c r="J66" i="7" s="1"/>
  <c r="B63" i="7"/>
  <c r="J69" i="7"/>
  <c r="I60" i="7"/>
  <c r="I35" i="7"/>
  <c r="B61" i="7"/>
  <c r="I13" i="7"/>
  <c r="I16" i="7"/>
  <c r="I7" i="7"/>
  <c r="I49" i="7"/>
  <c r="I18" i="7"/>
  <c r="I48" i="7"/>
  <c r="J63" i="7"/>
  <c r="J61" i="7"/>
  <c r="I50" i="7"/>
  <c r="I65" i="7"/>
  <c r="J65" i="7" s="1"/>
  <c r="I12" i="7"/>
  <c r="J62" i="7"/>
  <c r="H80" i="37"/>
  <c r="I47" i="37"/>
  <c r="J59" i="37"/>
  <c r="I46" i="37"/>
  <c r="I38" i="37"/>
  <c r="I35" i="37"/>
  <c r="I39" i="37"/>
  <c r="I36" i="37"/>
  <c r="I40" i="37"/>
  <c r="I32" i="37"/>
  <c r="I16" i="37"/>
  <c r="I42" i="37"/>
  <c r="I44" i="37"/>
  <c r="I37" i="37"/>
  <c r="I7" i="37"/>
  <c r="I18" i="37"/>
  <c r="I30" i="37"/>
  <c r="F71" i="37"/>
  <c r="I12" i="37"/>
  <c r="B61" i="37"/>
  <c r="A1" i="7"/>
  <c r="E82" i="37"/>
  <c r="E36" i="38"/>
  <c r="A1" i="37"/>
  <c r="J60" i="7"/>
  <c r="J64" i="7"/>
  <c r="K93" i="7" l="1"/>
  <c r="T86" i="7"/>
  <c r="T87" i="7" s="1"/>
  <c r="T87" i="37"/>
  <c r="R86" i="7"/>
  <c r="R87" i="7" s="1"/>
  <c r="R87" i="37"/>
  <c r="R123" i="37"/>
  <c r="R131" i="37" s="1"/>
  <c r="T123" i="37"/>
  <c r="T131" i="37" s="1"/>
  <c r="S86" i="7"/>
  <c r="S87" i="7" s="1"/>
  <c r="S88" i="7" s="1"/>
  <c r="S87" i="37"/>
  <c r="S88" i="37" s="1"/>
  <c r="K14" i="7"/>
  <c r="S7" i="37"/>
  <c r="S44" i="37"/>
  <c r="S52" i="37" s="1"/>
  <c r="T44" i="37"/>
  <c r="T52" i="37" s="1"/>
  <c r="T7" i="37"/>
  <c r="J50" i="38"/>
  <c r="J142" i="7"/>
  <c r="M76" i="7"/>
  <c r="K76" i="7"/>
  <c r="L76" i="7"/>
  <c r="J138" i="7"/>
  <c r="J143" i="7"/>
  <c r="J140" i="7"/>
  <c r="I82" i="7" s="1"/>
  <c r="I65" i="37"/>
  <c r="I19" i="38"/>
  <c r="J144" i="7"/>
  <c r="J139" i="7"/>
  <c r="J141" i="7"/>
  <c r="I64" i="37"/>
  <c r="J145" i="7"/>
  <c r="I21" i="38"/>
  <c r="I67" i="37"/>
  <c r="I63" i="37"/>
  <c r="I17" i="38"/>
  <c r="I14" i="38"/>
  <c r="P76" i="7"/>
  <c r="S78" i="7"/>
  <c r="Q78" i="7"/>
  <c r="J76" i="7"/>
  <c r="T78" i="7"/>
  <c r="P78" i="7"/>
  <c r="O76" i="7"/>
  <c r="T76" i="7"/>
  <c r="I60" i="37"/>
  <c r="N76" i="7"/>
  <c r="R78" i="7"/>
  <c r="N78" i="7"/>
  <c r="L78" i="7"/>
  <c r="K78" i="7"/>
  <c r="Q76" i="7"/>
  <c r="R76" i="7"/>
  <c r="J78" i="7"/>
  <c r="M78" i="7"/>
  <c r="S76" i="7"/>
  <c r="C91" i="7"/>
  <c r="O78" i="7"/>
  <c r="J146" i="7"/>
  <c r="J147" i="7"/>
  <c r="I66" i="37"/>
  <c r="I20" i="38"/>
  <c r="D11" i="7"/>
  <c r="I68" i="37"/>
  <c r="D8" i="7"/>
  <c r="D12" i="7"/>
  <c r="D13" i="7" s="1"/>
  <c r="D15" i="7" s="1"/>
  <c r="I22" i="38"/>
  <c r="C90" i="7"/>
  <c r="I62" i="37"/>
  <c r="I15" i="38"/>
  <c r="I61" i="37"/>
  <c r="I23" i="38"/>
  <c r="I69" i="37"/>
  <c r="R7" i="37"/>
  <c r="R44" i="37"/>
  <c r="R52" i="37" s="1"/>
  <c r="R44" i="7"/>
  <c r="R52" i="7" s="1"/>
  <c r="P106" i="7"/>
  <c r="P133" i="7"/>
  <c r="P134" i="7"/>
  <c r="N96" i="7"/>
  <c r="N98" i="7"/>
  <c r="N95" i="7"/>
  <c r="N97" i="7"/>
  <c r="N103" i="7"/>
  <c r="N106" i="7"/>
  <c r="N109" i="7"/>
  <c r="N110" i="7"/>
  <c r="N111" i="7"/>
  <c r="N113" i="7"/>
  <c r="N114" i="7"/>
  <c r="N115" i="7"/>
  <c r="N116" i="7"/>
  <c r="N117" i="7"/>
  <c r="N118" i="7"/>
  <c r="N119" i="7"/>
  <c r="N125" i="7"/>
  <c r="N126" i="7"/>
  <c r="N127" i="7"/>
  <c r="N128" i="7"/>
  <c r="N129" i="7"/>
  <c r="N133" i="7"/>
  <c r="N99" i="7"/>
  <c r="N134" i="7"/>
  <c r="K85" i="7"/>
  <c r="K95" i="7"/>
  <c r="K96" i="7"/>
  <c r="K97" i="7"/>
  <c r="K98" i="7"/>
  <c r="K99" i="7"/>
  <c r="K134" i="7"/>
  <c r="K103" i="7"/>
  <c r="K106" i="7"/>
  <c r="K109" i="7"/>
  <c r="K110" i="7"/>
  <c r="K111" i="7"/>
  <c r="K113" i="7"/>
  <c r="K114" i="7"/>
  <c r="K115" i="7"/>
  <c r="K116" i="7"/>
  <c r="K117" i="7"/>
  <c r="K118" i="7"/>
  <c r="K119" i="7"/>
  <c r="K125" i="7"/>
  <c r="K126" i="7"/>
  <c r="K127" i="7"/>
  <c r="K128" i="7"/>
  <c r="K129" i="7"/>
  <c r="K133" i="7"/>
  <c r="L95" i="7"/>
  <c r="L97" i="7"/>
  <c r="L85" i="7"/>
  <c r="L96" i="7"/>
  <c r="L98" i="7"/>
  <c r="L103" i="7"/>
  <c r="L106" i="7"/>
  <c r="L109" i="7"/>
  <c r="L110" i="7"/>
  <c r="L111" i="7"/>
  <c r="L113" i="7"/>
  <c r="L114" i="7"/>
  <c r="L115" i="7"/>
  <c r="L116" i="7"/>
  <c r="L117" i="7"/>
  <c r="L118" i="7"/>
  <c r="L119" i="7"/>
  <c r="L125" i="7"/>
  <c r="L126" i="7"/>
  <c r="L127" i="7"/>
  <c r="L128" i="7"/>
  <c r="L129" i="7"/>
  <c r="L133" i="7"/>
  <c r="L99" i="7"/>
  <c r="L134" i="7"/>
  <c r="J85" i="7"/>
  <c r="J96" i="7"/>
  <c r="J98" i="7"/>
  <c r="J95" i="7"/>
  <c r="J97" i="7"/>
  <c r="J103" i="7"/>
  <c r="J106" i="7"/>
  <c r="J109" i="7"/>
  <c r="J110" i="7"/>
  <c r="J111" i="7"/>
  <c r="J113" i="7"/>
  <c r="J114" i="7"/>
  <c r="J115" i="7"/>
  <c r="J116" i="7"/>
  <c r="J117" i="7"/>
  <c r="J118" i="7"/>
  <c r="J119" i="7"/>
  <c r="J125" i="7"/>
  <c r="J126" i="7"/>
  <c r="J127" i="7"/>
  <c r="J128" i="7"/>
  <c r="J129" i="7"/>
  <c r="J133" i="7"/>
  <c r="J99" i="7"/>
  <c r="J134" i="7"/>
  <c r="O134" i="7"/>
  <c r="O106" i="7"/>
  <c r="O133" i="7"/>
  <c r="G16" i="38"/>
  <c r="J64" i="37"/>
  <c r="J63" i="37"/>
  <c r="P27" i="7"/>
  <c r="P54" i="7"/>
  <c r="N48" i="7"/>
  <c r="N31" i="7"/>
  <c r="N35" i="7"/>
  <c r="N50" i="7"/>
  <c r="N19" i="7"/>
  <c r="N18" i="7"/>
  <c r="N24" i="7"/>
  <c r="N40" i="7"/>
  <c r="N34" i="7"/>
  <c r="N46" i="7"/>
  <c r="N27" i="7"/>
  <c r="N54" i="7"/>
  <c r="K17" i="7"/>
  <c r="K16" i="7"/>
  <c r="K30" i="7"/>
  <c r="K54" i="7"/>
  <c r="K37" i="7"/>
  <c r="K36" i="7"/>
  <c r="K40" i="7"/>
  <c r="K39" i="7"/>
  <c r="K46" i="7"/>
  <c r="K47" i="7"/>
  <c r="K32" i="7"/>
  <c r="K31" i="7"/>
  <c r="J66" i="37"/>
  <c r="J62" i="37"/>
  <c r="J69" i="37"/>
  <c r="J67" i="37"/>
  <c r="J60" i="37"/>
  <c r="L17" i="7"/>
  <c r="L20" i="7"/>
  <c r="L30" i="7"/>
  <c r="L39" i="7"/>
  <c r="L49" i="7"/>
  <c r="L55" i="7"/>
  <c r="L47" i="7"/>
  <c r="L27" i="7"/>
  <c r="L37" i="7"/>
  <c r="L24" i="7"/>
  <c r="L54" i="7"/>
  <c r="L46" i="7"/>
  <c r="J19" i="7"/>
  <c r="J16" i="7"/>
  <c r="J20" i="7"/>
  <c r="J49" i="7"/>
  <c r="J50" i="7"/>
  <c r="J30" i="7"/>
  <c r="J48" i="7"/>
  <c r="J24" i="7"/>
  <c r="J27" i="7"/>
  <c r="J37" i="7"/>
  <c r="J47" i="7"/>
  <c r="J35" i="7"/>
  <c r="O55" i="7"/>
  <c r="J15" i="38"/>
  <c r="J19" i="38"/>
  <c r="J21" i="38"/>
  <c r="J14" i="38"/>
  <c r="P55" i="7"/>
  <c r="N16" i="7"/>
  <c r="N30" i="7"/>
  <c r="N32" i="7"/>
  <c r="N37" i="7"/>
  <c r="N49" i="7"/>
  <c r="N36" i="7"/>
  <c r="N38" i="7"/>
  <c r="N39" i="7"/>
  <c r="N47" i="7"/>
  <c r="N20" i="7"/>
  <c r="N17" i="7"/>
  <c r="N55" i="7"/>
  <c r="K19" i="7"/>
  <c r="K18" i="7"/>
  <c r="K20" i="7"/>
  <c r="K6" i="7"/>
  <c r="K34" i="7"/>
  <c r="K50" i="7"/>
  <c r="K35" i="7"/>
  <c r="K27" i="7"/>
  <c r="K48" i="7"/>
  <c r="K49" i="7"/>
  <c r="K24" i="7"/>
  <c r="K55" i="7"/>
  <c r="K38" i="7"/>
  <c r="J22" i="38"/>
  <c r="J61" i="37"/>
  <c r="J65" i="37"/>
  <c r="J17" i="38"/>
  <c r="L16" i="7"/>
  <c r="L19" i="7"/>
  <c r="L18" i="7"/>
  <c r="L38" i="7"/>
  <c r="L34" i="7"/>
  <c r="L35" i="7"/>
  <c r="L6" i="7"/>
  <c r="L36" i="7"/>
  <c r="L50" i="7"/>
  <c r="L40" i="7"/>
  <c r="L31" i="7"/>
  <c r="L32" i="7"/>
  <c r="L48" i="7"/>
  <c r="J18" i="7"/>
  <c r="J17" i="7"/>
  <c r="J40" i="7"/>
  <c r="J55" i="7"/>
  <c r="J46" i="7"/>
  <c r="J34" i="7"/>
  <c r="J54" i="7"/>
  <c r="J32" i="7"/>
  <c r="J6" i="7"/>
  <c r="J38" i="7"/>
  <c r="J36" i="7"/>
  <c r="J39" i="7"/>
  <c r="O27" i="7"/>
  <c r="O54" i="7"/>
  <c r="J68" i="37"/>
  <c r="J23" i="38"/>
  <c r="J31" i="7"/>
  <c r="J20" i="38"/>
  <c r="Q133" i="7" l="1"/>
  <c r="O105" i="7"/>
  <c r="O121" i="7" s="1"/>
  <c r="Q134" i="7"/>
  <c r="J108" i="7"/>
  <c r="J105" i="7"/>
  <c r="J121" i="7" s="1"/>
  <c r="J86" i="7" s="1"/>
  <c r="J101" i="7"/>
  <c r="J87" i="7"/>
  <c r="L108" i="7"/>
  <c r="L105" i="7"/>
  <c r="L121" i="7" s="1"/>
  <c r="L86" i="7" s="1"/>
  <c r="L87" i="7" s="1"/>
  <c r="L101" i="7"/>
  <c r="M133" i="7"/>
  <c r="M129" i="7"/>
  <c r="M128" i="7"/>
  <c r="M127" i="7"/>
  <c r="M126" i="7"/>
  <c r="M125" i="7"/>
  <c r="M119" i="7"/>
  <c r="M118" i="7"/>
  <c r="M117" i="7"/>
  <c r="M116" i="7"/>
  <c r="M115" i="7"/>
  <c r="M114" i="7"/>
  <c r="M113" i="7"/>
  <c r="M111" i="7"/>
  <c r="M110" i="7"/>
  <c r="M109" i="7"/>
  <c r="K108" i="7"/>
  <c r="M108" i="7" s="1"/>
  <c r="M106" i="7"/>
  <c r="M105" i="7" s="1"/>
  <c r="M121" i="7" s="1"/>
  <c r="M86" i="7" s="1"/>
  <c r="K105" i="7"/>
  <c r="K121" i="7" s="1"/>
  <c r="K86" i="7" s="1"/>
  <c r="M103" i="7"/>
  <c r="M134" i="7"/>
  <c r="M99" i="7"/>
  <c r="M98" i="7"/>
  <c r="M97" i="7"/>
  <c r="M96" i="7"/>
  <c r="K101" i="7"/>
  <c r="M95" i="7"/>
  <c r="K87" i="7"/>
  <c r="M85" i="7"/>
  <c r="M87" i="7" s="1"/>
  <c r="N108" i="7"/>
  <c r="N105" i="7"/>
  <c r="N121" i="7" s="1"/>
  <c r="N86" i="7" s="1"/>
  <c r="N101" i="7"/>
  <c r="Q106" i="7"/>
  <c r="Q105" i="7" s="1"/>
  <c r="Q121" i="7" s="1"/>
  <c r="P105" i="7"/>
  <c r="P121" i="7" s="1"/>
  <c r="T88" i="7"/>
  <c r="T88" i="37"/>
  <c r="I107" i="7"/>
  <c r="I16" i="38"/>
  <c r="T8" i="37"/>
  <c r="T7" i="7"/>
  <c r="T8" i="7" s="1"/>
  <c r="S8" i="37"/>
  <c r="S7" i="7"/>
  <c r="S8" i="7" s="1"/>
  <c r="J55" i="38"/>
  <c r="J47" i="38"/>
  <c r="J146" i="37"/>
  <c r="J52" i="38"/>
  <c r="Q54" i="7"/>
  <c r="Q55" i="7"/>
  <c r="O26" i="7"/>
  <c r="O42" i="7" s="1"/>
  <c r="J26" i="7"/>
  <c r="J42" i="7" s="1"/>
  <c r="J7" i="7" s="1"/>
  <c r="J8" i="7" s="1"/>
  <c r="J29" i="7"/>
  <c r="J22" i="7"/>
  <c r="J44" i="7" s="1"/>
  <c r="J52" i="7" s="1"/>
  <c r="L26" i="7"/>
  <c r="L42" i="7" s="1"/>
  <c r="L7" i="7" s="1"/>
  <c r="L8" i="7" s="1"/>
  <c r="L29" i="7"/>
  <c r="L22" i="7"/>
  <c r="L44" i="7" s="1"/>
  <c r="L52" i="7" s="1"/>
  <c r="L76" i="37"/>
  <c r="J138" i="37"/>
  <c r="M76" i="37"/>
  <c r="K76" i="37"/>
  <c r="J49" i="38"/>
  <c r="J145" i="37"/>
  <c r="J143" i="37"/>
  <c r="J147" i="37"/>
  <c r="J139" i="37"/>
  <c r="J140" i="37"/>
  <c r="I82" i="37" s="1"/>
  <c r="J54" i="38"/>
  <c r="J144" i="37"/>
  <c r="M38" i="7"/>
  <c r="M31" i="7"/>
  <c r="M55" i="7"/>
  <c r="M32" i="7"/>
  <c r="M24" i="7"/>
  <c r="M47" i="7"/>
  <c r="M49" i="7"/>
  <c r="M46" i="7"/>
  <c r="M48" i="7"/>
  <c r="M39" i="7"/>
  <c r="K26" i="7"/>
  <c r="K42" i="7" s="1"/>
  <c r="K7" i="7" s="1"/>
  <c r="M27" i="7"/>
  <c r="M40" i="7"/>
  <c r="M35" i="7"/>
  <c r="M36" i="7"/>
  <c r="M50" i="7"/>
  <c r="M37" i="7"/>
  <c r="M34" i="7"/>
  <c r="M54" i="7"/>
  <c r="M6" i="7"/>
  <c r="K8" i="7"/>
  <c r="M30" i="7"/>
  <c r="K29" i="7"/>
  <c r="M29" i="7" s="1"/>
  <c r="M20" i="7"/>
  <c r="M16" i="7"/>
  <c r="K22" i="7"/>
  <c r="M18" i="7"/>
  <c r="M17" i="7"/>
  <c r="M19" i="7"/>
  <c r="N26" i="7"/>
  <c r="N42" i="7" s="1"/>
  <c r="N7" i="7" s="1"/>
  <c r="N29" i="7"/>
  <c r="N22" i="7"/>
  <c r="P26" i="7"/>
  <c r="P42" i="7" s="1"/>
  <c r="Q27" i="7"/>
  <c r="Q26" i="7" s="1"/>
  <c r="Q42" i="7" s="1"/>
  <c r="M30" i="38"/>
  <c r="K30" i="38"/>
  <c r="L30" i="38"/>
  <c r="J46" i="38"/>
  <c r="J141" i="37"/>
  <c r="J53" i="38"/>
  <c r="J142" i="37"/>
  <c r="J51" i="38"/>
  <c r="T78" i="37"/>
  <c r="Q76" i="37"/>
  <c r="L78" i="37"/>
  <c r="S76" i="37"/>
  <c r="R78" i="37"/>
  <c r="C91" i="37"/>
  <c r="R76" i="37"/>
  <c r="S78" i="37"/>
  <c r="M78" i="37"/>
  <c r="P78" i="37"/>
  <c r="O76" i="37"/>
  <c r="P76" i="37"/>
  <c r="Q78" i="37"/>
  <c r="N78" i="37"/>
  <c r="N76" i="37"/>
  <c r="J78" i="37"/>
  <c r="K78" i="37"/>
  <c r="J76" i="37"/>
  <c r="T76" i="37"/>
  <c r="O78" i="37"/>
  <c r="C90" i="37"/>
  <c r="S30" i="38"/>
  <c r="Q30" i="38"/>
  <c r="R30" i="38"/>
  <c r="L32" i="38"/>
  <c r="S32" i="38"/>
  <c r="P30" i="38"/>
  <c r="R32" i="38"/>
  <c r="N32" i="38"/>
  <c r="J32" i="38"/>
  <c r="C45" i="38"/>
  <c r="P32" i="38"/>
  <c r="Q32" i="38"/>
  <c r="K32" i="38"/>
  <c r="T30" i="38"/>
  <c r="O32" i="38"/>
  <c r="T32" i="38"/>
  <c r="O30" i="38"/>
  <c r="J30" i="38"/>
  <c r="N30" i="38"/>
  <c r="M32" i="38"/>
  <c r="I3" i="7"/>
  <c r="R8" i="37"/>
  <c r="S9" i="37" s="1"/>
  <c r="R7" i="7"/>
  <c r="R8" i="7" s="1"/>
  <c r="K44" i="7"/>
  <c r="K52" i="7" s="1"/>
  <c r="M22" i="7"/>
  <c r="C44" i="38"/>
  <c r="I3" i="37"/>
  <c r="N6" i="7"/>
  <c r="N8" i="7" s="1"/>
  <c r="N44" i="7"/>
  <c r="N52" i="7" s="1"/>
  <c r="T91" i="37"/>
  <c r="T92" i="37"/>
  <c r="T133" i="37"/>
  <c r="T134" i="37"/>
  <c r="L85" i="37"/>
  <c r="L96" i="37"/>
  <c r="L98" i="37"/>
  <c r="L91" i="37"/>
  <c r="L92" i="37"/>
  <c r="L95" i="37"/>
  <c r="L97" i="37"/>
  <c r="L99" i="37"/>
  <c r="L103" i="37"/>
  <c r="L117" i="37"/>
  <c r="L119" i="37"/>
  <c r="L126" i="37"/>
  <c r="L128" i="37"/>
  <c r="L109" i="37"/>
  <c r="L110" i="37"/>
  <c r="L111" i="37"/>
  <c r="L113" i="37"/>
  <c r="L114" i="37"/>
  <c r="L115" i="37"/>
  <c r="L116" i="37"/>
  <c r="L118" i="37"/>
  <c r="L125" i="37"/>
  <c r="L127" i="37"/>
  <c r="L129" i="37"/>
  <c r="L133" i="37"/>
  <c r="L134" i="37"/>
  <c r="R91" i="37"/>
  <c r="R92" i="37"/>
  <c r="R133" i="37"/>
  <c r="R134" i="37"/>
  <c r="K109" i="37"/>
  <c r="K110" i="37"/>
  <c r="K111" i="37"/>
  <c r="K113" i="37"/>
  <c r="K114" i="37"/>
  <c r="K115" i="37"/>
  <c r="K134" i="37"/>
  <c r="K85" i="37"/>
  <c r="K91" i="37"/>
  <c r="K92" i="37"/>
  <c r="K95" i="37"/>
  <c r="K96" i="37"/>
  <c r="K97" i="37"/>
  <c r="K98" i="37"/>
  <c r="K99" i="37"/>
  <c r="K103" i="37"/>
  <c r="K116" i="37"/>
  <c r="K117" i="37"/>
  <c r="K118" i="37"/>
  <c r="K119" i="37"/>
  <c r="K125" i="37"/>
  <c r="K126" i="37"/>
  <c r="K127" i="37"/>
  <c r="K128" i="37"/>
  <c r="K129" i="37"/>
  <c r="K133" i="37"/>
  <c r="S134" i="37"/>
  <c r="S91" i="37"/>
  <c r="S92" i="37"/>
  <c r="S133" i="37"/>
  <c r="P85" i="37"/>
  <c r="P91" i="37"/>
  <c r="P92" i="37"/>
  <c r="P106" i="37"/>
  <c r="P133" i="37"/>
  <c r="P134" i="37"/>
  <c r="N91" i="37"/>
  <c r="N92" i="37"/>
  <c r="N85" i="37"/>
  <c r="N133" i="37"/>
  <c r="N106" i="37"/>
  <c r="N134" i="37"/>
  <c r="J91" i="37"/>
  <c r="J92" i="37"/>
  <c r="J95" i="37"/>
  <c r="J97" i="37"/>
  <c r="J99" i="37"/>
  <c r="J103" i="37"/>
  <c r="J85" i="37"/>
  <c r="J96" i="37"/>
  <c r="J98" i="37"/>
  <c r="J116" i="37"/>
  <c r="J118" i="37"/>
  <c r="J125" i="37"/>
  <c r="J127" i="37"/>
  <c r="J129" i="37"/>
  <c r="J133" i="37"/>
  <c r="J109" i="37"/>
  <c r="J110" i="37"/>
  <c r="J111" i="37"/>
  <c r="J113" i="37"/>
  <c r="J114" i="37"/>
  <c r="J115" i="37"/>
  <c r="J117" i="37"/>
  <c r="J119" i="37"/>
  <c r="J126" i="37"/>
  <c r="J128" i="37"/>
  <c r="J134" i="37"/>
  <c r="O106" i="37"/>
  <c r="O134" i="37"/>
  <c r="O85" i="37"/>
  <c r="O91" i="37"/>
  <c r="O92" i="37"/>
  <c r="O133" i="37"/>
  <c r="J16" i="38"/>
  <c r="T13" i="37"/>
  <c r="T55" i="37"/>
  <c r="L47" i="37"/>
  <c r="L49" i="37"/>
  <c r="L54" i="37"/>
  <c r="L50" i="37"/>
  <c r="L20" i="37"/>
  <c r="L40" i="37"/>
  <c r="L32" i="37"/>
  <c r="L46" i="37"/>
  <c r="L6" i="37"/>
  <c r="L16" i="37"/>
  <c r="L13" i="37"/>
  <c r="L38" i="37"/>
  <c r="L31" i="37"/>
  <c r="R55" i="37"/>
  <c r="R12" i="37"/>
  <c r="K20" i="37"/>
  <c r="K6" i="37"/>
  <c r="K38" i="37"/>
  <c r="K31" i="37"/>
  <c r="K49" i="37"/>
  <c r="K19" i="37"/>
  <c r="K47" i="37"/>
  <c r="K35" i="37"/>
  <c r="K37" i="37"/>
  <c r="K32" i="37"/>
  <c r="K16" i="37"/>
  <c r="K18" i="37"/>
  <c r="K24" i="37"/>
  <c r="S55" i="37"/>
  <c r="S13" i="37"/>
  <c r="P6" i="37"/>
  <c r="P12" i="37"/>
  <c r="P54" i="37"/>
  <c r="N54" i="37"/>
  <c r="N6" i="37"/>
  <c r="N12" i="37"/>
  <c r="J18" i="37"/>
  <c r="J34" i="37"/>
  <c r="J32" i="37"/>
  <c r="J35" i="37"/>
  <c r="J47" i="37"/>
  <c r="J17" i="37"/>
  <c r="J30" i="37"/>
  <c r="J54" i="37"/>
  <c r="J46" i="37"/>
  <c r="J50" i="37"/>
  <c r="J12" i="37"/>
  <c r="J37" i="37"/>
  <c r="J49" i="37"/>
  <c r="O27" i="37"/>
  <c r="O55" i="37"/>
  <c r="O13" i="37"/>
  <c r="O12" i="37"/>
  <c r="T12" i="37"/>
  <c r="T54" i="37"/>
  <c r="L48" i="37"/>
  <c r="L17" i="37"/>
  <c r="L34" i="37"/>
  <c r="L19" i="37"/>
  <c r="L18" i="37"/>
  <c r="L37" i="37"/>
  <c r="L30" i="37"/>
  <c r="L39" i="37"/>
  <c r="L55" i="37"/>
  <c r="L35" i="37"/>
  <c r="L36" i="37"/>
  <c r="L24" i="37"/>
  <c r="L12" i="37"/>
  <c r="R54" i="37"/>
  <c r="R13" i="37"/>
  <c r="K17" i="37"/>
  <c r="K46" i="37"/>
  <c r="K40" i="37"/>
  <c r="K48" i="37"/>
  <c r="K55" i="37"/>
  <c r="K39" i="37"/>
  <c r="K36" i="37"/>
  <c r="K13" i="37"/>
  <c r="K30" i="37"/>
  <c r="K34" i="37"/>
  <c r="K54" i="37"/>
  <c r="K12" i="37"/>
  <c r="K50" i="37"/>
  <c r="S12" i="37"/>
  <c r="S54" i="37"/>
  <c r="P55" i="37"/>
  <c r="P13" i="37"/>
  <c r="P27" i="37"/>
  <c r="N27" i="37"/>
  <c r="N13" i="37"/>
  <c r="N55" i="37"/>
  <c r="J24" i="37"/>
  <c r="J13" i="37"/>
  <c r="J19" i="37"/>
  <c r="J36" i="37"/>
  <c r="J20" i="37"/>
  <c r="J39" i="37"/>
  <c r="J48" i="37"/>
  <c r="J6" i="37"/>
  <c r="J38" i="37"/>
  <c r="J55" i="37"/>
  <c r="J40" i="37"/>
  <c r="J16" i="37"/>
  <c r="J31" i="37"/>
  <c r="O6" i="37"/>
  <c r="O54" i="37"/>
  <c r="L123" i="7" l="1"/>
  <c r="L131" i="7" s="1"/>
  <c r="J123" i="7"/>
  <c r="J131" i="7" s="1"/>
  <c r="Q133" i="37"/>
  <c r="O93" i="37"/>
  <c r="Q134" i="37"/>
  <c r="O105" i="37"/>
  <c r="O121" i="37" s="1"/>
  <c r="J108" i="37"/>
  <c r="J101" i="37"/>
  <c r="J93" i="37"/>
  <c r="N105" i="37"/>
  <c r="N121" i="37" s="1"/>
  <c r="N92" i="7"/>
  <c r="N91" i="7"/>
  <c r="N93" i="37"/>
  <c r="Q106" i="37"/>
  <c r="P105" i="37"/>
  <c r="Q92" i="37"/>
  <c r="Q91" i="37"/>
  <c r="P93" i="37"/>
  <c r="Q93" i="37" s="1"/>
  <c r="Q85" i="37"/>
  <c r="S133" i="7"/>
  <c r="S93" i="37"/>
  <c r="S134" i="7"/>
  <c r="M133" i="37"/>
  <c r="M129" i="37"/>
  <c r="M128" i="37"/>
  <c r="M127" i="37"/>
  <c r="M126" i="37"/>
  <c r="M125" i="37"/>
  <c r="M119" i="37"/>
  <c r="M118" i="37"/>
  <c r="M117" i="37"/>
  <c r="M116" i="37"/>
  <c r="M103" i="37"/>
  <c r="M99" i="37"/>
  <c r="M98" i="37"/>
  <c r="M97" i="37"/>
  <c r="M96" i="37"/>
  <c r="K101" i="37"/>
  <c r="M95" i="37"/>
  <c r="M92" i="37"/>
  <c r="K93" i="37"/>
  <c r="M91" i="37"/>
  <c r="M85" i="37"/>
  <c r="M134" i="37"/>
  <c r="M115" i="37"/>
  <c r="M114" i="37"/>
  <c r="M113" i="37"/>
  <c r="M111" i="37"/>
  <c r="M110" i="37"/>
  <c r="M109" i="37"/>
  <c r="K108" i="37"/>
  <c r="R134" i="7"/>
  <c r="R133" i="7"/>
  <c r="R93" i="37"/>
  <c r="L108" i="37"/>
  <c r="L101" i="37"/>
  <c r="L93" i="37"/>
  <c r="T134" i="7"/>
  <c r="T133" i="7"/>
  <c r="T93" i="37"/>
  <c r="Q86" i="7"/>
  <c r="Q87" i="7" s="1"/>
  <c r="Q123" i="7"/>
  <c r="Q131" i="7" s="1"/>
  <c r="O86" i="7"/>
  <c r="O87" i="7" s="1"/>
  <c r="O123" i="7"/>
  <c r="O131" i="7" s="1"/>
  <c r="P86" i="7"/>
  <c r="P87" i="7" s="1"/>
  <c r="P123" i="7"/>
  <c r="P131" i="7" s="1"/>
  <c r="N123" i="7"/>
  <c r="N131" i="7" s="1"/>
  <c r="N85" i="7"/>
  <c r="N87" i="7" s="1"/>
  <c r="N88" i="7" s="1"/>
  <c r="K123" i="7"/>
  <c r="K131" i="7" s="1"/>
  <c r="M101" i="7"/>
  <c r="M123" i="7" s="1"/>
  <c r="M131" i="7" s="1"/>
  <c r="J48" i="38"/>
  <c r="I36" i="38" s="1"/>
  <c r="T9" i="37"/>
  <c r="T9" i="7"/>
  <c r="Q54" i="37"/>
  <c r="O14" i="37"/>
  <c r="Q55" i="37"/>
  <c r="O26" i="37"/>
  <c r="O42" i="37" s="1"/>
  <c r="J22" i="37"/>
  <c r="J14" i="37"/>
  <c r="J29" i="37"/>
  <c r="N12" i="7"/>
  <c r="N14" i="37"/>
  <c r="N13" i="7"/>
  <c r="N26" i="37"/>
  <c r="N42" i="37" s="1"/>
  <c r="P26" i="37"/>
  <c r="Q27" i="37"/>
  <c r="Q13" i="37"/>
  <c r="P14" i="37"/>
  <c r="Q12" i="37"/>
  <c r="Q6" i="37"/>
  <c r="S54" i="7"/>
  <c r="S14" i="37"/>
  <c r="S55" i="7"/>
  <c r="M50" i="37"/>
  <c r="M24" i="37"/>
  <c r="M12" i="37"/>
  <c r="K14" i="37"/>
  <c r="M18" i="37"/>
  <c r="M54" i="37"/>
  <c r="M16" i="37"/>
  <c r="K22" i="37"/>
  <c r="M34" i="37"/>
  <c r="M32" i="37"/>
  <c r="K29" i="37"/>
  <c r="M30" i="37"/>
  <c r="M37" i="37"/>
  <c r="M13" i="37"/>
  <c r="M35" i="37"/>
  <c r="M36" i="37"/>
  <c r="M47" i="37"/>
  <c r="M39" i="37"/>
  <c r="M19" i="37"/>
  <c r="M55" i="37"/>
  <c r="M49" i="37"/>
  <c r="M48" i="37"/>
  <c r="M31" i="37"/>
  <c r="M40" i="37"/>
  <c r="M38" i="37"/>
  <c r="M46" i="37"/>
  <c r="M6" i="37"/>
  <c r="M17" i="37"/>
  <c r="M20" i="37"/>
  <c r="R14" i="37"/>
  <c r="R54" i="7"/>
  <c r="R55" i="7"/>
  <c r="L14" i="37"/>
  <c r="L22" i="37"/>
  <c r="L29" i="37"/>
  <c r="T54" i="7"/>
  <c r="T55" i="7"/>
  <c r="T14" i="37"/>
  <c r="Q7" i="7"/>
  <c r="Q8" i="7" s="1"/>
  <c r="Q44" i="7"/>
  <c r="Q52" i="7" s="1"/>
  <c r="O7" i="7"/>
  <c r="O8" i="7" s="1"/>
  <c r="O9" i="7" s="1"/>
  <c r="Q9" i="7" s="1"/>
  <c r="O44" i="7"/>
  <c r="O52" i="7" s="1"/>
  <c r="P44" i="7"/>
  <c r="P52" i="7" s="1"/>
  <c r="P7" i="7"/>
  <c r="P8" i="7" s="1"/>
  <c r="M26" i="7"/>
  <c r="M42" i="7" s="1"/>
  <c r="M7" i="7" s="1"/>
  <c r="M8" i="7" s="1"/>
  <c r="N9" i="7" s="1"/>
  <c r="S9" i="7"/>
  <c r="I3" i="38"/>
  <c r="K106" i="37"/>
  <c r="J106" i="37"/>
  <c r="L106" i="37"/>
  <c r="J27" i="37"/>
  <c r="L27" i="37"/>
  <c r="K27" i="37"/>
  <c r="L105" i="37" l="1"/>
  <c r="L121" i="37" s="1"/>
  <c r="L86" i="37" s="1"/>
  <c r="L87" i="37" s="1"/>
  <c r="J105" i="37"/>
  <c r="J121" i="37" s="1"/>
  <c r="J86" i="37" s="1"/>
  <c r="J87" i="37" s="1"/>
  <c r="K105" i="37"/>
  <c r="M106" i="37"/>
  <c r="M92" i="7"/>
  <c r="M91" i="7"/>
  <c r="O88" i="7"/>
  <c r="Q88" i="7" s="1"/>
  <c r="R88" i="7"/>
  <c r="L123" i="37"/>
  <c r="L131" i="37" s="1"/>
  <c r="M108" i="37"/>
  <c r="M93" i="37"/>
  <c r="N93" i="7"/>
  <c r="M101" i="37"/>
  <c r="P121" i="37"/>
  <c r="Q105" i="37"/>
  <c r="Q121" i="37" s="1"/>
  <c r="N86" i="37"/>
  <c r="N87" i="37" s="1"/>
  <c r="N123" i="37"/>
  <c r="N131" i="37" s="1"/>
  <c r="J123" i="37"/>
  <c r="J131" i="37" s="1"/>
  <c r="O86" i="37"/>
  <c r="O87" i="37" s="1"/>
  <c r="O123" i="37"/>
  <c r="O131" i="37" s="1"/>
  <c r="Q14" i="37"/>
  <c r="M27" i="37"/>
  <c r="L26" i="37"/>
  <c r="L42" i="37" s="1"/>
  <c r="L7" i="37" s="1"/>
  <c r="L8" i="37" s="1"/>
  <c r="J26" i="37"/>
  <c r="J42" i="37" s="1"/>
  <c r="J7" i="37" s="1"/>
  <c r="J8" i="37" s="1"/>
  <c r="R9" i="7"/>
  <c r="L44" i="37"/>
  <c r="L52" i="37" s="1"/>
  <c r="M44" i="7"/>
  <c r="M52" i="7" s="1"/>
  <c r="M22" i="37"/>
  <c r="M14" i="37"/>
  <c r="N44" i="37"/>
  <c r="N52" i="37" s="1"/>
  <c r="N7" i="37"/>
  <c r="N8" i="37" s="1"/>
  <c r="J44" i="37"/>
  <c r="J52" i="37" s="1"/>
  <c r="O44" i="37"/>
  <c r="O52" i="37" s="1"/>
  <c r="O7" i="37"/>
  <c r="O8" i="37" s="1"/>
  <c r="R9" i="37" s="1"/>
  <c r="M13" i="7"/>
  <c r="M12" i="7"/>
  <c r="M29" i="37"/>
  <c r="P42" i="37"/>
  <c r="Q26" i="37"/>
  <c r="Q42" i="37" s="1"/>
  <c r="N14" i="7"/>
  <c r="K26" i="37"/>
  <c r="R88" i="37" l="1"/>
  <c r="Q86" i="37"/>
  <c r="Q87" i="37" s="1"/>
  <c r="Q123" i="37"/>
  <c r="Q131" i="37" s="1"/>
  <c r="M93" i="7"/>
  <c r="P86" i="37"/>
  <c r="P87" i="37" s="1"/>
  <c r="P123" i="37"/>
  <c r="P131" i="37" s="1"/>
  <c r="K121" i="37"/>
  <c r="M105" i="37"/>
  <c r="M121" i="37" s="1"/>
  <c r="M86" i="37" s="1"/>
  <c r="M87" i="37" s="1"/>
  <c r="K42" i="37"/>
  <c r="M26" i="37"/>
  <c r="M42" i="37" s="1"/>
  <c r="Q7" i="37"/>
  <c r="Q8" i="37" s="1"/>
  <c r="Q44" i="37"/>
  <c r="Q52" i="37" s="1"/>
  <c r="M14" i="7"/>
  <c r="P7" i="37"/>
  <c r="P8" i="37" s="1"/>
  <c r="P44" i="37"/>
  <c r="P52" i="37" s="1"/>
  <c r="K86" i="37" l="1"/>
  <c r="K87" i="37" s="1"/>
  <c r="K123" i="37"/>
  <c r="K131" i="37" s="1"/>
  <c r="M123" i="37"/>
  <c r="M131" i="37" s="1"/>
  <c r="M7" i="37"/>
  <c r="M8" i="37" s="1"/>
  <c r="M44" i="37"/>
  <c r="M52" i="37" s="1"/>
  <c r="K7" i="37"/>
  <c r="K8" i="37" s="1"/>
  <c r="K44" i="37"/>
  <c r="K52" i="37" s="1"/>
  <c r="O88" i="37" l="1"/>
  <c r="Q88" i="37" s="1"/>
  <c r="N88" i="37"/>
  <c r="N9" i="37"/>
  <c r="O9" i="37"/>
  <c r="Q9" i="37" s="1"/>
</calcChain>
</file>

<file path=xl/comments1.xml><?xml version="1.0" encoding="utf-8"?>
<comments xmlns="http://schemas.openxmlformats.org/spreadsheetml/2006/main">
  <authors>
    <author>Piia Laasonen</author>
    <author>ext_ahayryne</author>
  </authors>
  <commentList>
    <comment ref="I6" authorId="0">
      <text>
        <r>
          <rPr>
            <sz val="8"/>
            <color indexed="81"/>
            <rFont val="Tahoma"/>
            <family val="2"/>
          </rPr>
          <t xml:space="preserve">Summa sisältää tiliryhmät 30,32,33,34,35,36,37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Summa sisältää tiliryhmät 40,43,45,47,48,50,70,80,85,88
</t>
        </r>
      </text>
    </comment>
    <comment ref="I22" authorId="0">
      <text>
        <r>
          <rPr>
            <sz val="8"/>
            <color indexed="81"/>
            <rFont val="Tahoma"/>
            <family val="2"/>
          </rPr>
          <t>Ei sisällä valmistusta omaan käyttöön</t>
        </r>
      </text>
    </comment>
    <comment ref="B82" authorId="1">
      <text>
        <r>
          <rPr>
            <sz val="8"/>
            <color indexed="81"/>
            <rFont val="Tahoma"/>
            <family val="2"/>
          </rPr>
          <t>Right-click to build filter</t>
        </r>
      </text>
    </comment>
    <comment ref="C82" authorId="1">
      <text>
        <r>
          <rPr>
            <sz val="8"/>
            <color indexed="81"/>
            <rFont val="Tahoma"/>
            <family val="2"/>
          </rPr>
          <t>Right-click to build filter</t>
        </r>
      </text>
    </comment>
  </commentList>
</comments>
</file>

<file path=xl/comments2.xml><?xml version="1.0" encoding="utf-8"?>
<comments xmlns="http://schemas.openxmlformats.org/spreadsheetml/2006/main">
  <authors>
    <author>Piia Laasonen</author>
    <author>ext_ahayryne</author>
  </authors>
  <commentList>
    <comment ref="I6" authorId="0">
      <text>
        <r>
          <rPr>
            <sz val="8"/>
            <color indexed="81"/>
            <rFont val="Tahoma"/>
            <family val="2"/>
          </rPr>
          <t xml:space="preserve">Summa sisältää tiliryhmät 30,32,33,34,35,36,37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Summa sisältää tiliryhmät 40,43,45,47,48,50,70,80,85,88
</t>
        </r>
      </text>
    </comment>
    <comment ref="I22" authorId="0">
      <text>
        <r>
          <rPr>
            <sz val="8"/>
            <color indexed="81"/>
            <rFont val="Tahoma"/>
            <family val="2"/>
          </rPr>
          <t>Ei sisällä valmistusta omaan käyttöön</t>
        </r>
      </text>
    </comment>
    <comment ref="B82" authorId="1">
      <text>
        <r>
          <rPr>
            <sz val="8"/>
            <color indexed="81"/>
            <rFont val="Tahoma"/>
            <family val="2"/>
          </rPr>
          <t>Right-click to build filter</t>
        </r>
      </text>
    </comment>
    <comment ref="C82" authorId="1">
      <text>
        <r>
          <rPr>
            <sz val="8"/>
            <color indexed="81"/>
            <rFont val="Tahoma"/>
            <family val="2"/>
          </rPr>
          <t>Right-click to build filter</t>
        </r>
      </text>
    </comment>
  </commentList>
</comments>
</file>

<file path=xl/comments3.xml><?xml version="1.0" encoding="utf-8"?>
<comments xmlns="http://schemas.openxmlformats.org/spreadsheetml/2006/main">
  <authors>
    <author>ext_ahayryne</author>
  </authors>
  <commentList>
    <comment ref="B36" authorId="0">
      <text>
        <r>
          <rPr>
            <sz val="8"/>
            <color indexed="81"/>
            <rFont val="Tahoma"/>
            <family val="2"/>
          </rPr>
          <t>Right-click to build filter</t>
        </r>
      </text>
    </comment>
    <comment ref="C36" authorId="0">
      <text>
        <r>
          <rPr>
            <sz val="8"/>
            <color indexed="81"/>
            <rFont val="Tahoma"/>
            <family val="2"/>
          </rPr>
          <t>Right-click to build filter</t>
        </r>
      </text>
    </comment>
  </commentList>
</comments>
</file>

<file path=xl/sharedStrings.xml><?xml version="1.0" encoding="utf-8"?>
<sst xmlns="http://schemas.openxmlformats.org/spreadsheetml/2006/main" count="643" uniqueCount="122">
  <si>
    <t>RANGE</t>
  </si>
  <si>
    <t>VALUE</t>
  </si>
  <si>
    <t>PageKeyRange</t>
  </si>
  <si>
    <t>ColKeyRange</t>
  </si>
  <si>
    <t>RowKeyRange</t>
  </si>
  <si>
    <t>CellKeyRange</t>
  </si>
  <si>
    <t>GetOnlyRange</t>
  </si>
  <si>
    <t>FormatRange</t>
  </si>
  <si>
    <t>SortRange</t>
  </si>
  <si>
    <t>PARAMETER</t>
  </si>
  <si>
    <t>EXPANSION 1</t>
  </si>
  <si>
    <t>EXPANSION 2</t>
  </si>
  <si>
    <t>EXPANSION 3</t>
  </si>
  <si>
    <t>ExpandIn</t>
  </si>
  <si>
    <t>Dimension</t>
  </si>
  <si>
    <t>MemberSet</t>
  </si>
  <si>
    <t>BeforeRange</t>
  </si>
  <si>
    <t>AfterRange</t>
  </si>
  <si>
    <t>Suppress</t>
  </si>
  <si>
    <t>Insert</t>
  </si>
  <si>
    <t>COL</t>
  </si>
  <si>
    <t>AIKA</t>
  </si>
  <si>
    <t>TYYPPI</t>
  </si>
  <si>
    <t>ROW</t>
  </si>
  <si>
    <t>TILI</t>
  </si>
  <si>
    <t>Option</t>
  </si>
  <si>
    <t>Value</t>
  </si>
  <si>
    <t>AutoFitCol</t>
  </si>
  <si>
    <t>Bottom</t>
  </si>
  <si>
    <t>DumpDataCache</t>
  </si>
  <si>
    <t>ExpandOnly</t>
  </si>
  <si>
    <t>HideColKeys</t>
  </si>
  <si>
    <t>HideRowKeys</t>
  </si>
  <si>
    <t>NoRefresh</t>
  </si>
  <si>
    <t>NoSend</t>
  </si>
  <si>
    <t>ShowComments</t>
  </si>
  <si>
    <t>ShowNullAsZero</t>
  </si>
  <si>
    <t>SortCol</t>
  </si>
  <si>
    <t>SumParent</t>
  </si>
  <si>
    <t>SuppressDataCol</t>
  </si>
  <si>
    <t>SuppressDataRow</t>
  </si>
  <si>
    <t>SuppressNoData</t>
  </si>
  <si>
    <t>Top</t>
  </si>
  <si>
    <t>OptionRange</t>
  </si>
  <si>
    <t>App</t>
  </si>
  <si>
    <t>TKU_MÄÄRÄRAHA</t>
  </si>
  <si>
    <t>KUMPPANI</t>
  </si>
  <si>
    <t>KUSTANNUSPAIKKA</t>
  </si>
  <si>
    <t>MEASURES</t>
  </si>
  <si>
    <t>TILAUS</t>
  </si>
  <si>
    <t>TOIMINTOALUE</t>
  </si>
  <si>
    <t>VERSIO</t>
  </si>
  <si>
    <t>YRITYS</t>
  </si>
  <si>
    <t>Määrärahat</t>
  </si>
  <si>
    <t>Käyttötalousosa</t>
  </si>
  <si>
    <t>Toimintakate</t>
  </si>
  <si>
    <t>Muutos-%</t>
  </si>
  <si>
    <t>Investointiosa</t>
  </si>
  <si>
    <t>INV_TULOT</t>
  </si>
  <si>
    <t>INV_MENOT</t>
  </si>
  <si>
    <t>TOIM_KULUT</t>
  </si>
  <si>
    <t>TOIM_KATE</t>
  </si>
  <si>
    <t>TILIKAUDEN TULOS</t>
  </si>
  <si>
    <t>SISÄISET TOIMINTAKULUT</t>
  </si>
  <si>
    <t>TA</t>
  </si>
  <si>
    <t>TO_EHD</t>
  </si>
  <si>
    <t>TA_muutos_seuraava_v</t>
  </si>
  <si>
    <t>TS_2</t>
  </si>
  <si>
    <t>TS_3</t>
  </si>
  <si>
    <t>TS_4</t>
  </si>
  <si>
    <t>NOEXPAND</t>
  </si>
  <si>
    <t/>
  </si>
  <si>
    <t>SELF</t>
  </si>
  <si>
    <t>EXPANSION 4</t>
  </si>
  <si>
    <t xml:space="preserve"> </t>
  </si>
  <si>
    <t>KÄYTTÄJÄ</t>
  </si>
  <si>
    <t>PVM</t>
  </si>
  <si>
    <t>Muut henkilöstösivukulut</t>
  </si>
  <si>
    <t>TOIMINTATUOTOT</t>
  </si>
  <si>
    <t>Hakuehdot</t>
  </si>
  <si>
    <t>37</t>
  </si>
  <si>
    <t>TILI:3</t>
  </si>
  <si>
    <t>TILI:4</t>
  </si>
  <si>
    <t>TILI:400</t>
  </si>
  <si>
    <t>TOTminus1</t>
  </si>
  <si>
    <t>TA_MUUTOS</t>
  </si>
  <si>
    <t>INV_NETTO</t>
  </si>
  <si>
    <t>SISÄISET TOIMINTATUOTOT</t>
  </si>
  <si>
    <t>Investointeja varten</t>
  </si>
  <si>
    <t>TILI:4_R</t>
  </si>
  <si>
    <t>30_R</t>
  </si>
  <si>
    <t>32_R</t>
  </si>
  <si>
    <t>33_R</t>
  </si>
  <si>
    <t>34_R</t>
  </si>
  <si>
    <t>35_R</t>
  </si>
  <si>
    <t>37_R</t>
  </si>
  <si>
    <t>40_R</t>
  </si>
  <si>
    <t>410_R</t>
  </si>
  <si>
    <t>415_R</t>
  </si>
  <si>
    <t>423_R</t>
  </si>
  <si>
    <t>43_R</t>
  </si>
  <si>
    <t>430_R</t>
  </si>
  <si>
    <t>434_R</t>
  </si>
  <si>
    <t>45_R</t>
  </si>
  <si>
    <t>47_R</t>
  </si>
  <si>
    <t>480_R</t>
  </si>
  <si>
    <t>490_R</t>
  </si>
  <si>
    <t>70_R</t>
  </si>
  <si>
    <t>80_R</t>
  </si>
  <si>
    <t>85_R</t>
  </si>
  <si>
    <t>50_R</t>
  </si>
  <si>
    <t>60_R</t>
  </si>
  <si>
    <t>Päättely oikeasta vaiheesta:</t>
  </si>
  <si>
    <t>TAR</t>
  </si>
  <si>
    <t>SIM</t>
  </si>
  <si>
    <t>RAA</t>
  </si>
  <si>
    <t>y</t>
  </si>
  <si>
    <t>3_R</t>
  </si>
  <si>
    <t>400_R</t>
  </si>
  <si>
    <t>Palkat ja palkkiot</t>
  </si>
  <si>
    <t>TILAUS:A</t>
  </si>
  <si>
    <t>RAA_V1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</si>
</sst>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2">
    <xf numFmtId="0" fontId="0" fillId="0" borderId="0" xfId="0"/>
    <xf numFmtId="0" fontId="0" fillId="2" borderId="0" xfId="0" applyFill="1"/>
    <xf numFmtId="0" fontId="9" fillId="3" borderId="1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0" fontId="9" fillId="4" borderId="2" xfId="0" applyFont="1" applyFill="1" applyBorder="1"/>
    <xf numFmtId="0" fontId="0" fillId="2" borderId="2" xfId="0" applyFill="1" applyBorder="1"/>
    <xf numFmtId="49" fontId="9" fillId="4" borderId="2" xfId="0" applyNumberFormat="1" applyFont="1" applyFill="1" applyBorder="1"/>
    <xf numFmtId="49" fontId="0" fillId="2" borderId="2" xfId="0" applyNumberFormat="1" applyFill="1" applyBorder="1"/>
    <xf numFmtId="0" fontId="9" fillId="2" borderId="0" xfId="0" applyFont="1" applyFill="1"/>
    <xf numFmtId="0" fontId="0" fillId="5" borderId="0" xfId="0" applyFill="1"/>
    <xf numFmtId="0" fontId="0" fillId="6" borderId="0" xfId="0" applyFill="1"/>
    <xf numFmtId="49" fontId="0" fillId="2" borderId="0" xfId="0" applyNumberFormat="1" applyFill="1"/>
    <xf numFmtId="49" fontId="0" fillId="6" borderId="0" xfId="0" applyNumberFormat="1" applyFill="1"/>
    <xf numFmtId="0" fontId="0" fillId="2" borderId="2" xfId="0" applyNumberFormat="1" applyFill="1" applyBorder="1"/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2" borderId="0" xfId="0" applyNumberFormat="1" applyFill="1" applyAlignment="1"/>
    <xf numFmtId="0" fontId="0" fillId="7" borderId="0" xfId="0" applyFill="1"/>
    <xf numFmtId="0" fontId="0" fillId="2" borderId="0" xfId="0" applyFont="1" applyFill="1"/>
    <xf numFmtId="14" fontId="0" fillId="2" borderId="0" xfId="0" applyNumberFormat="1" applyFill="1" applyAlignment="1">
      <alignment horizontal="left"/>
    </xf>
    <xf numFmtId="0" fontId="11" fillId="2" borderId="0" xfId="0" applyFont="1" applyFill="1"/>
    <xf numFmtId="0" fontId="0" fillId="6" borderId="0" xfId="0" applyNumberFormat="1" applyFill="1"/>
    <xf numFmtId="0" fontId="4" fillId="2" borderId="0" xfId="1" applyFont="1" applyFill="1"/>
    <xf numFmtId="0" fontId="5" fillId="2" borderId="0" xfId="2" applyNumberFormat="1" applyFont="1" applyFill="1" applyAlignment="1">
      <alignment wrapText="1"/>
    </xf>
    <xf numFmtId="0" fontId="12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5" fillId="2" borderId="5" xfId="1" applyFont="1" applyFill="1" applyBorder="1"/>
    <xf numFmtId="3" fontId="5" fillId="2" borderId="0" xfId="1" applyNumberFormat="1" applyFont="1" applyFill="1" applyBorder="1" applyAlignment="1">
      <alignment horizontal="right"/>
    </xf>
    <xf numFmtId="3" fontId="3" fillId="2" borderId="0" xfId="1" applyNumberFormat="1" applyFont="1" applyFill="1" applyBorder="1" applyAlignment="1">
      <alignment horizontal="right" wrapText="1"/>
    </xf>
    <xf numFmtId="3" fontId="5" fillId="2" borderId="0" xfId="1" applyNumberFormat="1" applyFont="1" applyFill="1" applyBorder="1" applyAlignment="1">
      <alignment horizontal="right" wrapText="1"/>
    </xf>
    <xf numFmtId="3" fontId="3" fillId="2" borderId="0" xfId="1" applyNumberFormat="1" applyFont="1" applyFill="1" applyBorder="1" applyAlignment="1">
      <alignment horizontal="right"/>
    </xf>
    <xf numFmtId="3" fontId="3" fillId="2" borderId="6" xfId="1" applyNumberFormat="1" applyFont="1" applyFill="1" applyBorder="1" applyAlignment="1">
      <alignment horizontal="right"/>
    </xf>
    <xf numFmtId="3" fontId="5" fillId="8" borderId="3" xfId="1" applyNumberFormat="1" applyFont="1" applyFill="1" applyBorder="1" applyAlignment="1">
      <alignment horizontal="right"/>
    </xf>
    <xf numFmtId="0" fontId="0" fillId="2" borderId="0" xfId="0" applyFill="1" applyBorder="1"/>
    <xf numFmtId="0" fontId="1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5" fillId="2" borderId="0" xfId="1" applyFont="1" applyFill="1" applyBorder="1"/>
    <xf numFmtId="49" fontId="0" fillId="2" borderId="0" xfId="0" applyNumberFormat="1" applyFill="1" applyBorder="1" applyAlignment="1">
      <alignment horizontal="left"/>
    </xf>
    <xf numFmtId="0" fontId="3" fillId="2" borderId="0" xfId="1" applyFont="1" applyFill="1" applyBorder="1" applyAlignment="1">
      <alignment horizontal="left" indent="2"/>
    </xf>
    <xf numFmtId="0" fontId="7" fillId="2" borderId="0" xfId="1" applyFont="1" applyFill="1" applyBorder="1" applyAlignment="1">
      <alignment horizontal="left"/>
    </xf>
    <xf numFmtId="0" fontId="4" fillId="2" borderId="0" xfId="1" applyFont="1" applyFill="1" applyBorder="1"/>
    <xf numFmtId="3" fontId="5" fillId="8" borderId="7" xfId="1" applyNumberFormat="1" applyFont="1" applyFill="1" applyBorder="1" applyAlignment="1">
      <alignment horizontal="right"/>
    </xf>
    <xf numFmtId="3" fontId="5" fillId="8" borderId="7" xfId="1" applyNumberFormat="1" applyFont="1" applyFill="1" applyBorder="1" applyAlignment="1">
      <alignment horizontal="right" wrapText="1"/>
    </xf>
    <xf numFmtId="3" fontId="5" fillId="8" borderId="7" xfId="1" applyNumberFormat="1" applyFont="1" applyFill="1" applyBorder="1" applyAlignment="1">
      <alignment horizontal="left"/>
    </xf>
    <xf numFmtId="0" fontId="5" fillId="2" borderId="1" xfId="1" applyFont="1" applyFill="1" applyBorder="1"/>
    <xf numFmtId="3" fontId="3" fillId="2" borderId="3" xfId="1" applyNumberFormat="1" applyFont="1" applyFill="1" applyBorder="1" applyAlignment="1">
      <alignment horizontal="right" wrapText="1"/>
    </xf>
    <xf numFmtId="3" fontId="3" fillId="2" borderId="4" xfId="1" applyNumberFormat="1" applyFont="1" applyFill="1" applyBorder="1" applyAlignment="1">
      <alignment horizontal="right" wrapText="1"/>
    </xf>
    <xf numFmtId="3" fontId="6" fillId="2" borderId="8" xfId="1" applyNumberFormat="1" applyFont="1" applyFill="1" applyBorder="1" applyAlignment="1" applyProtection="1">
      <alignment horizontal="right"/>
    </xf>
    <xf numFmtId="3" fontId="5" fillId="2" borderId="8" xfId="1" applyNumberFormat="1" applyFont="1" applyFill="1" applyBorder="1" applyAlignment="1">
      <alignment horizontal="right" wrapText="1"/>
    </xf>
    <xf numFmtId="3" fontId="6" fillId="2" borderId="9" xfId="1" applyNumberFormat="1" applyFont="1" applyFill="1" applyBorder="1" applyAlignment="1" applyProtection="1">
      <alignment horizontal="right"/>
    </xf>
    <xf numFmtId="0" fontId="12" fillId="2" borderId="8" xfId="0" applyFont="1" applyFill="1" applyBorder="1" applyAlignment="1">
      <alignment horizontal="left"/>
    </xf>
    <xf numFmtId="0" fontId="0" fillId="2" borderId="8" xfId="0" applyFill="1" applyBorder="1"/>
    <xf numFmtId="49" fontId="0" fillId="2" borderId="7" xfId="0" applyNumberFormat="1" applyFill="1" applyBorder="1" applyAlignment="1"/>
    <xf numFmtId="0" fontId="9" fillId="4" borderId="10" xfId="0" applyFont="1" applyFill="1" applyBorder="1"/>
    <xf numFmtId="0" fontId="0" fillId="2" borderId="10" xfId="0" applyFill="1" applyBorder="1"/>
    <xf numFmtId="0" fontId="9" fillId="4" borderId="11" xfId="0" applyFont="1" applyFill="1" applyBorder="1"/>
    <xf numFmtId="0" fontId="0" fillId="2" borderId="11" xfId="0" applyFill="1" applyBorder="1"/>
    <xf numFmtId="0" fontId="9" fillId="4" borderId="7" xfId="0" applyFont="1" applyFill="1" applyBorder="1"/>
    <xf numFmtId="0" fontId="0" fillId="2" borderId="7" xfId="0" applyFill="1" applyBorder="1"/>
    <xf numFmtId="0" fontId="5" fillId="8" borderId="7" xfId="1" applyFont="1" applyFill="1" applyBorder="1"/>
    <xf numFmtId="0" fontId="5" fillId="8" borderId="7" xfId="1" applyFont="1" applyFill="1" applyBorder="1" applyAlignment="1">
      <alignment horizontal="left"/>
    </xf>
    <xf numFmtId="0" fontId="5" fillId="8" borderId="3" xfId="1" applyFont="1" applyFill="1" applyBorder="1"/>
    <xf numFmtId="49" fontId="0" fillId="2" borderId="3" xfId="0" applyNumberFormat="1" applyFill="1" applyBorder="1" applyAlignment="1"/>
    <xf numFmtId="0" fontId="6" fillId="8" borderId="12" xfId="1" applyFont="1" applyFill="1" applyBorder="1" applyAlignment="1">
      <alignment horizontal="left"/>
    </xf>
    <xf numFmtId="0" fontId="6" fillId="8" borderId="13" xfId="1" applyFont="1" applyFill="1" applyBorder="1" applyAlignment="1">
      <alignment horizontal="left"/>
    </xf>
    <xf numFmtId="0" fontId="1" fillId="2" borderId="0" xfId="0" applyFont="1" applyFill="1"/>
    <xf numFmtId="0" fontId="8" fillId="2" borderId="0" xfId="0" applyFont="1" applyFill="1" applyBorder="1"/>
    <xf numFmtId="3" fontId="3" fillId="2" borderId="3" xfId="1" applyNumberFormat="1" applyFont="1" applyFill="1" applyBorder="1" applyAlignment="1">
      <alignment horizontal="right"/>
    </xf>
    <xf numFmtId="0" fontId="5" fillId="2" borderId="14" xfId="1" applyFont="1" applyFill="1" applyBorder="1"/>
    <xf numFmtId="3" fontId="5" fillId="2" borderId="8" xfId="1" applyNumberFormat="1" applyFont="1" applyFill="1" applyBorder="1" applyAlignment="1">
      <alignment horizontal="right"/>
    </xf>
    <xf numFmtId="0" fontId="3" fillId="2" borderId="0" xfId="1" applyFont="1" applyFill="1" applyBorder="1"/>
    <xf numFmtId="3" fontId="3" fillId="2" borderId="6" xfId="1" applyNumberFormat="1" applyFont="1" applyFill="1" applyBorder="1" applyAlignment="1">
      <alignment horizontal="right" wrapText="1"/>
    </xf>
    <xf numFmtId="164" fontId="6" fillId="2" borderId="8" xfId="1" applyNumberFormat="1" applyFont="1" applyFill="1" applyBorder="1" applyAlignment="1" applyProtection="1">
      <alignment horizontal="right"/>
    </xf>
    <xf numFmtId="164" fontId="5" fillId="2" borderId="8" xfId="1" applyNumberFormat="1" applyFont="1" applyFill="1" applyBorder="1" applyAlignment="1">
      <alignment horizontal="right"/>
    </xf>
    <xf numFmtId="164" fontId="6" fillId="2" borderId="9" xfId="1" applyNumberFormat="1" applyFont="1" applyFill="1" applyBorder="1" applyAlignment="1" applyProtection="1">
      <alignment horizontal="right"/>
    </xf>
    <xf numFmtId="0" fontId="9" fillId="2" borderId="0" xfId="0" applyFont="1" applyFill="1" applyBorder="1"/>
    <xf numFmtId="0" fontId="0" fillId="9" borderId="0" xfId="0" applyFill="1" applyBorder="1"/>
    <xf numFmtId="3" fontId="8" fillId="2" borderId="0" xfId="0" applyNumberFormat="1" applyFont="1" applyFill="1" applyBorder="1"/>
    <xf numFmtId="3" fontId="0" fillId="2" borderId="0" xfId="0" applyNumberFormat="1" applyFill="1"/>
    <xf numFmtId="49" fontId="0" fillId="0" borderId="0" xfId="0" applyNumberFormat="1" applyFill="1" applyBorder="1" applyAlignment="1"/>
    <xf numFmtId="0" fontId="0" fillId="0" borderId="0" xfId="0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49" fontId="6" fillId="0" borderId="0" xfId="1" applyNumberFormat="1" applyFont="1" applyFill="1" applyBorder="1" applyAlignment="1">
      <alignment horizontal="left"/>
    </xf>
    <xf numFmtId="0" fontId="0" fillId="2" borderId="15" xfId="0" applyNumberFormat="1" applyFill="1" applyBorder="1"/>
    <xf numFmtId="49" fontId="0" fillId="2" borderId="15" xfId="0" applyNumberFormat="1" applyFill="1" applyBorder="1"/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3">
    <cellStyle name="Normaali" xfId="0" builtinId="0"/>
    <cellStyle name="Normal 7" xfId="1"/>
    <cellStyle name="Normal_Taul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72</xdr:row>
      <xdr:rowOff>57150</xdr:rowOff>
    </xdr:from>
    <xdr:to>
      <xdr:col>8</xdr:col>
      <xdr:colOff>1533525</xdr:colOff>
      <xdr:row>74</xdr:row>
      <xdr:rowOff>47625</xdr:rowOff>
    </xdr:to>
    <xdr:pic>
      <xdr:nvPicPr>
        <xdr:cNvPr id="4119" name="Picture 1" descr="Turku logo.PN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38150"/>
          <a:ext cx="14668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72</xdr:row>
      <xdr:rowOff>57150</xdr:rowOff>
    </xdr:from>
    <xdr:to>
      <xdr:col>8</xdr:col>
      <xdr:colOff>1533525</xdr:colOff>
      <xdr:row>74</xdr:row>
      <xdr:rowOff>47625</xdr:rowOff>
    </xdr:to>
    <xdr:pic>
      <xdr:nvPicPr>
        <xdr:cNvPr id="7213" name="Picture 1" descr="Turku logo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68400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26</xdr:row>
      <xdr:rowOff>57150</xdr:rowOff>
    </xdr:from>
    <xdr:to>
      <xdr:col>8</xdr:col>
      <xdr:colOff>1533525</xdr:colOff>
      <xdr:row>28</xdr:row>
      <xdr:rowOff>47625</xdr:rowOff>
    </xdr:to>
    <xdr:pic>
      <xdr:nvPicPr>
        <xdr:cNvPr id="8221" name="Picture 1" descr="Turku logo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0150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1">
    <pageSetUpPr autoPageBreaks="0" fitToPage="1"/>
  </sheetPr>
  <dimension ref="A1:X149"/>
  <sheetViews>
    <sheetView showGridLines="0" tabSelected="1" topLeftCell="I71" zoomScale="70" zoomScaleNormal="85" workbookViewId="0">
      <pane xSplit="1" ySplit="6" topLeftCell="J92" activePane="bottomRight" state="frozen"/>
      <selection activeCell="I71" sqref="I71"/>
      <selection pane="topRight" activeCell="J71" sqref="J71"/>
      <selection pane="bottomLeft" activeCell="I77" sqref="I77"/>
      <selection pane="bottomRight" activeCell="J101" sqref="J101"/>
    </sheetView>
  </sheetViews>
  <sheetFormatPr defaultRowHeight="15" outlineLevelRow="2" outlineLevelCol="1" x14ac:dyDescent="0.25"/>
  <cols>
    <col min="1" max="1" width="21.140625" style="1" hidden="1" customWidth="1" outlineLevel="1"/>
    <col min="2" max="2" width="29.5703125" style="1" hidden="1" customWidth="1" outlineLevel="1"/>
    <col min="3" max="4" width="16.85546875" style="1" hidden="1" customWidth="1" outlineLevel="1"/>
    <col min="5" max="5" width="27.7109375" style="1" hidden="1" customWidth="1" outlineLevel="1"/>
    <col min="6" max="6" width="8.7109375" style="26" hidden="1" customWidth="1" outlineLevel="1"/>
    <col min="7" max="7" width="9.5703125" style="1" hidden="1" customWidth="1" outlineLevel="1"/>
    <col min="8" max="8" width="24.28515625" style="1" hidden="1" customWidth="1" outlineLevel="1"/>
    <col min="9" max="9" width="50" style="1" bestFit="1" customWidth="1" collapsed="1"/>
    <col min="10" max="12" width="17.28515625" style="1" customWidth="1"/>
    <col min="13" max="13" width="15" style="1" customWidth="1"/>
    <col min="14" max="14" width="17.28515625" style="1" hidden="1" customWidth="1"/>
    <col min="15" max="15" width="17.28515625" style="1" bestFit="1" customWidth="1"/>
    <col min="16" max="16" width="23" style="1" hidden="1" customWidth="1"/>
    <col min="17" max="17" width="17" style="1" hidden="1" customWidth="1"/>
    <col min="18" max="20" width="17.28515625" style="1" bestFit="1" customWidth="1"/>
    <col min="21" max="16384" width="9.140625" style="1"/>
  </cols>
  <sheetData>
    <row r="1" spans="1:24" hidden="1" outlineLevel="2" x14ac:dyDescent="0.25">
      <c r="A1" s="3" t="str">
        <f>_xll.EVDRE($I$59,A61:B68,A80:E86)</f>
        <v>EVDRE:OK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4" hidden="1" outlineLevel="2" x14ac:dyDescent="0.25">
      <c r="I2" s="68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5" customFormat="1" hidden="1" outlineLevel="2" x14ac:dyDescent="0.25">
      <c r="F3" s="36"/>
      <c r="I3" s="43" t="str">
        <f>"Toimielin "&amp;$J$140</f>
        <v>Toimielin Liikuntalautakunta</v>
      </c>
      <c r="J3" s="69" t="s">
        <v>74</v>
      </c>
      <c r="K3" s="80"/>
      <c r="L3" s="69" t="s">
        <v>74</v>
      </c>
      <c r="M3" s="80"/>
      <c r="N3" s="69"/>
      <c r="O3" s="69" t="s">
        <v>74</v>
      </c>
      <c r="P3" s="69" t="s">
        <v>74</v>
      </c>
      <c r="Q3" s="69" t="s">
        <v>74</v>
      </c>
      <c r="R3" s="69" t="s">
        <v>74</v>
      </c>
      <c r="S3" s="69" t="s">
        <v>74</v>
      </c>
      <c r="T3" s="69" t="s">
        <v>74</v>
      </c>
    </row>
    <row r="4" spans="1:24" s="35" customFormat="1" hidden="1" outlineLevel="2" x14ac:dyDescent="0.25">
      <c r="F4" s="36"/>
      <c r="H4" s="37"/>
      <c r="I4" s="43" t="s">
        <v>53</v>
      </c>
      <c r="J4" s="30"/>
      <c r="K4" s="30"/>
      <c r="L4" s="30"/>
      <c r="M4" s="30"/>
      <c r="N4" s="31"/>
      <c r="O4" s="30"/>
      <c r="P4" s="30"/>
      <c r="Q4" s="30"/>
      <c r="R4" s="30"/>
      <c r="S4" s="30"/>
      <c r="T4" s="30"/>
    </row>
    <row r="5" spans="1:24" s="35" customFormat="1" hidden="1" outlineLevel="2" x14ac:dyDescent="0.25">
      <c r="F5" s="36"/>
      <c r="H5" s="37"/>
      <c r="I5" s="43" t="s">
        <v>54</v>
      </c>
      <c r="J5" s="30"/>
      <c r="K5" s="30"/>
      <c r="L5" s="30"/>
      <c r="M5" s="30"/>
      <c r="N5" s="31"/>
      <c r="O5" s="30"/>
      <c r="P5" s="30"/>
      <c r="Q5" s="32"/>
      <c r="R5" s="30"/>
      <c r="S5" s="30"/>
      <c r="T5" s="30"/>
    </row>
    <row r="6" spans="1:24" s="35" customFormat="1" hidden="1" outlineLevel="2" x14ac:dyDescent="0.25">
      <c r="C6" s="78" t="s">
        <v>112</v>
      </c>
      <c r="F6" s="36"/>
      <c r="H6" s="40" t="s">
        <v>81</v>
      </c>
      <c r="I6" s="47" t="str">
        <f>_xll.EVDES(H6,$I$59)</f>
        <v>TOIMINTATUOTOT</v>
      </c>
      <c r="J6" s="48">
        <f>_xll.EVGET($I$59,$J$78,$J$79,$H6,"TOT")</f>
        <v>2013644.14</v>
      </c>
      <c r="K6" s="48">
        <f>_xll.EVGET($I$59,$K$78,$K$79,$H6,"TOT")</f>
        <v>3717708</v>
      </c>
      <c r="L6" s="48">
        <f>_xll.EVGET($I$59,$L$78,$L$79,$H6,"TOT")</f>
        <v>0</v>
      </c>
      <c r="M6" s="48">
        <f>K6+L6</f>
        <v>3717708</v>
      </c>
      <c r="N6" s="48">
        <f>N22</f>
        <v>0</v>
      </c>
      <c r="O6" s="48">
        <f>O22+O24</f>
        <v>0</v>
      </c>
      <c r="P6" s="48"/>
      <c r="Q6" s="70">
        <f>P6+O6</f>
        <v>0</v>
      </c>
      <c r="R6" s="48">
        <f>I!R6</f>
        <v>0</v>
      </c>
      <c r="S6" s="48">
        <f>I!S6</f>
        <v>0</v>
      </c>
      <c r="T6" s="49">
        <f>I!T6</f>
        <v>0</v>
      </c>
    </row>
    <row r="7" spans="1:24" s="35" customFormat="1" hidden="1" outlineLevel="2" x14ac:dyDescent="0.25">
      <c r="F7" s="36"/>
      <c r="H7" s="40" t="s">
        <v>82</v>
      </c>
      <c r="I7" s="28" t="str">
        <f>_xll.EVDES(H7,$I$59)</f>
        <v>TOIMINTAKULUT</v>
      </c>
      <c r="J7" s="32">
        <f>J42</f>
        <v>17491783.73</v>
      </c>
      <c r="K7" s="32">
        <f t="shared" ref="K7:Q7" si="0">K42</f>
        <v>19947127.558989603</v>
      </c>
      <c r="L7" s="32">
        <f t="shared" si="0"/>
        <v>0</v>
      </c>
      <c r="M7" s="32">
        <f>M42</f>
        <v>19947127.558989603</v>
      </c>
      <c r="N7" s="32">
        <f t="shared" si="0"/>
        <v>0</v>
      </c>
      <c r="O7" s="32">
        <f>O42</f>
        <v>3637718.0100023998</v>
      </c>
      <c r="P7" s="32">
        <f t="shared" si="0"/>
        <v>0</v>
      </c>
      <c r="Q7" s="32">
        <f t="shared" si="0"/>
        <v>3637718.0100023998</v>
      </c>
      <c r="R7" s="30">
        <f>I!R7</f>
        <v>0</v>
      </c>
      <c r="S7" s="30">
        <f>I!S7</f>
        <v>0</v>
      </c>
      <c r="T7" s="74">
        <f>I!T7</f>
        <v>0</v>
      </c>
    </row>
    <row r="8" spans="1:24" s="35" customFormat="1" hidden="1" outlineLevel="2" x14ac:dyDescent="0.25">
      <c r="D8" s="79" t="str">
        <f>IF(OR(LEFT(I68,3)="TAR",LEFT(I68,3)="SIM",LEFT(I68,3)="RAA"),"TAR_V","RAA_V")</f>
        <v>TAR_V</v>
      </c>
      <c r="F8" s="36"/>
      <c r="H8" s="37"/>
      <c r="I8" s="28" t="s">
        <v>55</v>
      </c>
      <c r="J8" s="32">
        <f>J6-J7</f>
        <v>-15478139.59</v>
      </c>
      <c r="K8" s="32">
        <f>K6-K7</f>
        <v>-16229419.558989603</v>
      </c>
      <c r="L8" s="32">
        <f>L6-L7</f>
        <v>0</v>
      </c>
      <c r="M8" s="32">
        <f>M6-M7</f>
        <v>-16229419.558989603</v>
      </c>
      <c r="N8" s="32">
        <f>N6+N24-N7</f>
        <v>0</v>
      </c>
      <c r="O8" s="32">
        <f>O6-O7</f>
        <v>-3637718.0100023998</v>
      </c>
      <c r="P8" s="32">
        <f>P6+P24-P7</f>
        <v>0</v>
      </c>
      <c r="Q8" s="32">
        <f>Q6+Q24-Q7</f>
        <v>-3637718.0100023998</v>
      </c>
      <c r="R8" s="32">
        <f>R6-R7</f>
        <v>0</v>
      </c>
      <c r="S8" s="32">
        <f>S6-S7</f>
        <v>0</v>
      </c>
      <c r="T8" s="33">
        <f>T6-T7</f>
        <v>0</v>
      </c>
    </row>
    <row r="9" spans="1:24" s="35" customFormat="1" hidden="1" outlineLevel="2" x14ac:dyDescent="0.25">
      <c r="F9" s="36"/>
      <c r="H9" s="37"/>
      <c r="I9" s="71" t="s">
        <v>56</v>
      </c>
      <c r="J9" s="72"/>
      <c r="K9" s="72"/>
      <c r="L9" s="72"/>
      <c r="M9" s="51"/>
      <c r="N9" s="75">
        <f>IF(ISERR(N8/M8),0,N8/M8)</f>
        <v>0</v>
      </c>
      <c r="O9" s="75">
        <f>IF(ISERR(O8/K8),0,(O8/K8)-1)</f>
        <v>-0.7758565550184795</v>
      </c>
      <c r="P9" s="75"/>
      <c r="Q9" s="76">
        <f>P9+O9</f>
        <v>-0.7758565550184795</v>
      </c>
      <c r="R9" s="75">
        <f>IF(ISERR(R8/O8),0,(R8/O8)-1)</f>
        <v>-1</v>
      </c>
      <c r="S9" s="75">
        <f>IF(ISERR(S8/R8),0,(S8/R8)-1)</f>
        <v>0</v>
      </c>
      <c r="T9" s="77">
        <f>IF(ISERR(T8/S8),0,(T8/S8)-1)</f>
        <v>0</v>
      </c>
    </row>
    <row r="10" spans="1:24" s="35" customFormat="1" hidden="1" outlineLevel="2" x14ac:dyDescent="0.25">
      <c r="C10" s="35" t="s">
        <v>112</v>
      </c>
      <c r="F10" s="36"/>
      <c r="H10" s="37"/>
      <c r="I10" s="39" t="s">
        <v>74</v>
      </c>
      <c r="J10" s="32"/>
      <c r="K10" s="32"/>
      <c r="L10" s="32"/>
      <c r="M10" s="30"/>
      <c r="N10" s="29"/>
      <c r="O10" s="32"/>
      <c r="P10" s="32"/>
      <c r="Q10" s="32"/>
      <c r="R10" s="32"/>
      <c r="S10" s="32"/>
      <c r="T10" s="32"/>
    </row>
    <row r="11" spans="1:24" s="35" customFormat="1" hidden="1" outlineLevel="2" x14ac:dyDescent="0.25">
      <c r="D11" s="35" t="str">
        <f>IF(I68="LAU_V","LAU_V","")</f>
        <v/>
      </c>
      <c r="F11" s="36"/>
      <c r="H11" s="37"/>
      <c r="I11" s="43" t="s">
        <v>57</v>
      </c>
      <c r="J11" s="32"/>
      <c r="K11" s="32"/>
      <c r="L11" s="32"/>
      <c r="M11" s="30"/>
      <c r="N11" s="29"/>
      <c r="O11" s="32"/>
      <c r="P11" s="32"/>
      <c r="Q11" s="32"/>
      <c r="R11" s="30"/>
      <c r="S11" s="30"/>
      <c r="T11" s="30"/>
    </row>
    <row r="12" spans="1:24" s="35" customFormat="1" hidden="1" outlineLevel="2" x14ac:dyDescent="0.25">
      <c r="D12" s="35" t="str">
        <f>LEFT(I68,3)</f>
        <v>RAA</v>
      </c>
      <c r="F12" s="36"/>
      <c r="H12" s="37" t="s">
        <v>58</v>
      </c>
      <c r="I12" s="39" t="str">
        <f>_xll.EVDES(H12,$I$59)</f>
        <v>Valtionosuudet ja muut rahoitusosuudet</v>
      </c>
      <c r="J12" s="30">
        <f>IF(ISERROR(P!$J$39),"",P!$J$39)</f>
        <v>0</v>
      </c>
      <c r="K12" s="30">
        <f>IF(ISERROR(I!$Q$39),"",P!$K$39)</f>
        <v>0</v>
      </c>
      <c r="L12" s="30">
        <f>IF(ISERROR(I!$R$39),"",P!$L$39)</f>
        <v>0</v>
      </c>
      <c r="M12" s="30">
        <f>IF(ISERROR(I!$M$40),"",K12+L12)</f>
        <v>0</v>
      </c>
      <c r="N12" s="30">
        <f>IF(ISERROR(I!N$94),"",I!N12)</f>
        <v>0</v>
      </c>
      <c r="O12" s="30">
        <f>IF(ISERROR(I!$U$39),"",P!$O$39)</f>
        <v>0</v>
      </c>
      <c r="P12" s="30">
        <f>IF(ISERROR(I!V39),"",P!P39)</f>
        <v>0</v>
      </c>
      <c r="Q12" s="30">
        <f>IF(ISERROR(I!W39),"",P!Q39)</f>
        <v>0</v>
      </c>
      <c r="R12" s="30">
        <f>IF(ISERROR(I!$X$39),"",P!$R$39)</f>
        <v>0</v>
      </c>
      <c r="S12" s="30">
        <f>IF(ISERROR(I!$Y$39),"",P!$S$39)</f>
        <v>0</v>
      </c>
      <c r="T12" s="30">
        <f>IF(ISERROR(I!$Z$39),"",P!$T$39)</f>
        <v>0</v>
      </c>
    </row>
    <row r="13" spans="1:24" s="35" customFormat="1" hidden="1" outlineLevel="2" x14ac:dyDescent="0.25">
      <c r="D13" s="35" t="str">
        <f>IF(RIGHT(D12,1)="_",REPLACE(D12,3,1,""),D12)</f>
        <v>RAA</v>
      </c>
      <c r="F13" s="36"/>
      <c r="H13" s="37" t="s">
        <v>59</v>
      </c>
      <c r="I13" s="39" t="str">
        <f>_xll.EVDES(H13,$I$59)</f>
        <v>Investointikulut</v>
      </c>
      <c r="J13" s="30">
        <f>IF(ISERROR(I!$P$40),"",P!$J$40)</f>
        <v>0</v>
      </c>
      <c r="K13" s="30">
        <f>IF(ISERROR(I!$Q$40),"",P!$K$40)</f>
        <v>0</v>
      </c>
      <c r="L13" s="30">
        <f>IF(ISERROR(I!$R$40),"",P!$L$40)</f>
        <v>0</v>
      </c>
      <c r="M13" s="30">
        <f>IF(ISERROR(I!$M$40),"",K13+L13)</f>
        <v>0</v>
      </c>
      <c r="N13" s="30">
        <f>IF(ISERROR(I!N$94),"",I!N13)</f>
        <v>0</v>
      </c>
      <c r="O13" s="30">
        <f>IF(ISERROR(I!$U$40),"",P!$O$40)</f>
        <v>0</v>
      </c>
      <c r="P13" s="30">
        <f>IF(ISERROR(I!V40),"",P!P40)</f>
        <v>0</v>
      </c>
      <c r="Q13" s="30">
        <f>IF(ISERROR(I!W40),"",P!Q40)</f>
        <v>0</v>
      </c>
      <c r="R13" s="30">
        <f>IF(ISERROR(I!$X$40),"",P!$R$40)</f>
        <v>0</v>
      </c>
      <c r="S13" s="30">
        <f>IF(ISERROR(I!$Y$40),"",P!$S$40)</f>
        <v>0</v>
      </c>
      <c r="T13" s="30">
        <f>IF(ISERROR(I!$Z$40),"",P!$T$40)</f>
        <v>0</v>
      </c>
    </row>
    <row r="14" spans="1:24" s="35" customFormat="1" hidden="1" outlineLevel="2" x14ac:dyDescent="0.25">
      <c r="B14" s="35" t="s">
        <v>113</v>
      </c>
      <c r="F14" s="36"/>
      <c r="H14" s="37" t="s">
        <v>86</v>
      </c>
      <c r="I14" s="39" t="str">
        <f>_xll.EVDES(H14,$I$59)</f>
        <v>Nettoinvestoinnit</v>
      </c>
      <c r="J14" s="29">
        <f>IF(J12="","",J12-J13)</f>
        <v>0</v>
      </c>
      <c r="K14" s="29">
        <f t="shared" ref="K14:T14" si="1">IF(K12="","",K12-K13)</f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29">
        <f t="shared" si="1"/>
        <v>0</v>
      </c>
      <c r="R14" s="29">
        <f t="shared" si="1"/>
        <v>0</v>
      </c>
      <c r="S14" s="29">
        <f t="shared" si="1"/>
        <v>0</v>
      </c>
      <c r="T14" s="29">
        <f t="shared" si="1"/>
        <v>0</v>
      </c>
    </row>
    <row r="15" spans="1:24" s="35" customFormat="1" hidden="1" outlineLevel="2" x14ac:dyDescent="0.25">
      <c r="B15" s="35" t="s">
        <v>114</v>
      </c>
      <c r="D15" s="35" t="str">
        <f>VLOOKUP(D13,B14:B16,1,FALSE)</f>
        <v>RAA</v>
      </c>
      <c r="F15" s="36"/>
      <c r="H15" s="37"/>
      <c r="I15" s="39" t="s">
        <v>74</v>
      </c>
      <c r="J15" s="32"/>
      <c r="K15" s="32"/>
      <c r="L15" s="32"/>
      <c r="M15" s="30"/>
      <c r="N15" s="29"/>
      <c r="O15" s="32"/>
      <c r="P15" s="32"/>
      <c r="Q15" s="32"/>
      <c r="R15" s="32"/>
      <c r="S15" s="32"/>
      <c r="T15" s="32"/>
    </row>
    <row r="16" spans="1:24" s="35" customFormat="1" hidden="1" outlineLevel="2" x14ac:dyDescent="0.25">
      <c r="B16" s="35" t="s">
        <v>115</v>
      </c>
      <c r="D16" s="35" t="b">
        <f>ISNA(D14)</f>
        <v>0</v>
      </c>
      <c r="F16" s="36"/>
      <c r="H16" s="37">
        <v>30</v>
      </c>
      <c r="I16" s="39" t="str">
        <f>_xll.EVDES(H16,$I$59)</f>
        <v>Myyntituotot</v>
      </c>
      <c r="J16" s="32">
        <f>_xll.EVGET($I$59,$J$78,$J$79,$H16,"TOT")</f>
        <v>27706.83</v>
      </c>
      <c r="K16" s="32">
        <f>_xll.EVGET($I$59,$K$78,$K$79,$H16,"TOT")</f>
        <v>53298</v>
      </c>
      <c r="L16" s="32">
        <f>_xll.EVGET($I$59,$L$78,$L$79,$H16,"TOT")</f>
        <v>0</v>
      </c>
      <c r="M16" s="30">
        <f>K16+L16</f>
        <v>53298</v>
      </c>
      <c r="N16" s="32">
        <f>_xll.EVGET(Käyttötalousosa!$I$59,Käyttötalousosa!$N$78,Käyttötalousosa!$N$79,Käyttötalousosa!$H16,Käyttötalousosa!$D$8)</f>
        <v>0</v>
      </c>
      <c r="O16" s="32"/>
      <c r="P16" s="32"/>
      <c r="Q16" s="32">
        <f>P16+O16</f>
        <v>0</v>
      </c>
      <c r="R16" s="30">
        <f>I!R16</f>
        <v>0</v>
      </c>
      <c r="S16" s="30">
        <f>I!S16</f>
        <v>0</v>
      </c>
      <c r="T16" s="30">
        <f>I!T16</f>
        <v>0</v>
      </c>
    </row>
    <row r="17" spans="6:21" s="35" customFormat="1" hidden="1" outlineLevel="2" x14ac:dyDescent="0.25">
      <c r="F17" s="36"/>
      <c r="H17" s="37">
        <v>32</v>
      </c>
      <c r="I17" s="39" t="str">
        <f>_xll.EVDES(H17,$I$59)</f>
        <v>Maksutuotot</v>
      </c>
      <c r="J17" s="32">
        <f>_xll.EVGET($I$59,$J$78,$J$79,$H17,"TOT")</f>
        <v>1105863.5900000001</v>
      </c>
      <c r="K17" s="32">
        <f>_xll.EVGET($I$59,$K$78,$K$79,$H17,"TOT")</f>
        <v>2980200.0000024</v>
      </c>
      <c r="L17" s="32">
        <f>_xll.EVGET($I$59,$L$78,$L$79,$H17,"TOT")</f>
        <v>0</v>
      </c>
      <c r="M17" s="30">
        <f>K17+L17</f>
        <v>2980200.0000024</v>
      </c>
      <c r="N17" s="32">
        <f>_xll.EVGET(Käyttötalousosa!$I$59,Käyttötalousosa!$N$78,Käyttötalousosa!$N$79,Käyttötalousosa!$H17,Käyttötalousosa!$D$8)</f>
        <v>0</v>
      </c>
      <c r="O17" s="32"/>
      <c r="P17" s="32"/>
      <c r="Q17" s="32">
        <f t="shared" ref="Q17:Q22" si="2">P17+O17</f>
        <v>0</v>
      </c>
      <c r="R17" s="30">
        <f>I!R17</f>
        <v>0</v>
      </c>
      <c r="S17" s="30">
        <f>I!S17</f>
        <v>0</v>
      </c>
      <c r="T17" s="30">
        <f>I!T17</f>
        <v>0</v>
      </c>
    </row>
    <row r="18" spans="6:21" s="35" customFormat="1" hidden="1" outlineLevel="2" x14ac:dyDescent="0.25">
      <c r="F18" s="36"/>
      <c r="H18" s="37">
        <v>33</v>
      </c>
      <c r="I18" s="39" t="str">
        <f>_xll.EVDES(H18,$I$59)</f>
        <v>Tuet ja avustukset</v>
      </c>
      <c r="J18" s="32">
        <f>_xll.EVGET($I$59,$J$78,$J$79,$H18,"TOT")</f>
        <v>40454.85</v>
      </c>
      <c r="K18" s="32">
        <f>_xll.EVGET($I$59,$K$78,$K$79,$H18,"TOT")</f>
        <v>17499.999999600001</v>
      </c>
      <c r="L18" s="32">
        <f>_xll.EVGET($I$59,$L$78,$L$79,$H18,"TOT")</f>
        <v>0</v>
      </c>
      <c r="M18" s="30">
        <f>K18+L18</f>
        <v>17499.999999600001</v>
      </c>
      <c r="N18" s="32">
        <f>_xll.EVGET(Käyttötalousosa!$I$59,Käyttötalousosa!$N$78,Käyttötalousosa!$N$79,Käyttötalousosa!$H18,Käyttötalousosa!$D$8)</f>
        <v>0</v>
      </c>
      <c r="O18" s="32"/>
      <c r="P18" s="32"/>
      <c r="Q18" s="32">
        <f t="shared" si="2"/>
        <v>0</v>
      </c>
      <c r="R18" s="30">
        <f>I!R18</f>
        <v>0</v>
      </c>
      <c r="S18" s="30">
        <f>I!S18</f>
        <v>0</v>
      </c>
      <c r="T18" s="30">
        <f>I!T18</f>
        <v>0</v>
      </c>
    </row>
    <row r="19" spans="6:21" s="35" customFormat="1" hidden="1" outlineLevel="2" x14ac:dyDescent="0.25">
      <c r="F19" s="36"/>
      <c r="H19" s="37">
        <v>34</v>
      </c>
      <c r="I19" s="39" t="str">
        <f>_xll.EVDES(H19,$I$59)</f>
        <v>Vuokratuotot</v>
      </c>
      <c r="J19" s="32">
        <f>_xll.EVGET($I$59,$J$78,$J$79,$H19,"TOT")</f>
        <v>746718.68</v>
      </c>
      <c r="K19" s="32">
        <f>_xll.EVGET($I$59,$K$78,$K$79,$H19,"TOT")</f>
        <v>596709.99999839999</v>
      </c>
      <c r="L19" s="32">
        <f>_xll.EVGET($I$59,$L$78,$L$79,$H19,"TOT")</f>
        <v>0</v>
      </c>
      <c r="M19" s="30">
        <f>K19+L19</f>
        <v>596709.99999839999</v>
      </c>
      <c r="N19" s="32">
        <f>_xll.EVGET(Käyttötalousosa!$I$59,Käyttötalousosa!$N$78,Käyttötalousosa!$N$79,Käyttötalousosa!$H19,Käyttötalousosa!$D$8)</f>
        <v>0</v>
      </c>
      <c r="O19" s="32"/>
      <c r="P19" s="32"/>
      <c r="Q19" s="32">
        <f t="shared" si="2"/>
        <v>0</v>
      </c>
      <c r="R19" s="30">
        <f>I!R19</f>
        <v>0</v>
      </c>
      <c r="S19" s="30">
        <f>I!S19</f>
        <v>0</v>
      </c>
      <c r="T19" s="30">
        <f>I!T19</f>
        <v>0</v>
      </c>
    </row>
    <row r="20" spans="6:21" s="35" customFormat="1" hidden="1" outlineLevel="2" x14ac:dyDescent="0.25">
      <c r="F20" s="36"/>
      <c r="H20" s="37">
        <v>35</v>
      </c>
      <c r="I20" s="39" t="str">
        <f>_xll.EVDES(H20,$I$59)</f>
        <v>Muut toimintatuotot</v>
      </c>
      <c r="J20" s="32">
        <f>_xll.EVGET($I$59,$J$78,$J$79,$H20,"TOT")</f>
        <v>92900.19</v>
      </c>
      <c r="K20" s="32">
        <f>_xll.EVGET($I$59,$K$78,$K$79,$H20,"TOT")</f>
        <v>69999.999999599997</v>
      </c>
      <c r="L20" s="32">
        <f>_xll.EVGET($I$59,$L$78,$L$79,$H20,"TOT")</f>
        <v>0</v>
      </c>
      <c r="M20" s="30">
        <f>K20+L20</f>
        <v>69999.999999599997</v>
      </c>
      <c r="N20" s="32">
        <f>_xll.EVGET(Käyttötalousosa!$I$59,Käyttötalousosa!$N$78,Käyttötalousosa!$N$79,Käyttötalousosa!$H20,Käyttötalousosa!$D$8)</f>
        <v>0</v>
      </c>
      <c r="O20" s="32"/>
      <c r="P20" s="32"/>
      <c r="Q20" s="32">
        <f t="shared" si="2"/>
        <v>0</v>
      </c>
      <c r="R20" s="30">
        <f>I!R20</f>
        <v>0</v>
      </c>
      <c r="S20" s="30">
        <f>I!S20</f>
        <v>0</v>
      </c>
      <c r="T20" s="30">
        <f>I!T20</f>
        <v>0</v>
      </c>
    </row>
    <row r="21" spans="6:21" s="35" customFormat="1" hidden="1" outlineLevel="2" x14ac:dyDescent="0.25">
      <c r="F21" s="36"/>
      <c r="H21" s="37"/>
      <c r="I21" s="39" t="s">
        <v>74</v>
      </c>
      <c r="J21" s="32"/>
      <c r="K21" s="32"/>
      <c r="L21" s="32"/>
      <c r="M21" s="30"/>
      <c r="N21" s="32"/>
      <c r="O21" s="32"/>
      <c r="P21" s="32"/>
      <c r="Q21" s="32"/>
      <c r="R21" s="32"/>
      <c r="S21" s="32"/>
      <c r="T21" s="32"/>
    </row>
    <row r="22" spans="6:21" ht="15.75" hidden="1" outlineLevel="2" thickBot="1" x14ac:dyDescent="0.3">
      <c r="H22" s="16"/>
      <c r="I22" s="62" t="s">
        <v>78</v>
      </c>
      <c r="J22" s="44">
        <f>J16+J17+J18+J19+J20</f>
        <v>2013644.1400000001</v>
      </c>
      <c r="K22" s="44">
        <f>K16+K17+K18+K19+K20</f>
        <v>3717708</v>
      </c>
      <c r="L22" s="44">
        <f>L16+L17+L18+L19+L20</f>
        <v>0</v>
      </c>
      <c r="M22" s="45">
        <f>K22+L22</f>
        <v>3717708</v>
      </c>
      <c r="N22" s="44">
        <f t="shared" ref="N22:T22" si="3">N16+N17+N18+N19+N20</f>
        <v>0</v>
      </c>
      <c r="O22" s="44">
        <f t="shared" si="3"/>
        <v>0</v>
      </c>
      <c r="P22" s="44">
        <f t="shared" si="3"/>
        <v>0</v>
      </c>
      <c r="Q22" s="44">
        <f t="shared" si="2"/>
        <v>0</v>
      </c>
      <c r="R22" s="44">
        <f t="shared" si="3"/>
        <v>0</v>
      </c>
      <c r="S22" s="44">
        <f t="shared" si="3"/>
        <v>0</v>
      </c>
      <c r="T22" s="44">
        <f t="shared" si="3"/>
        <v>0</v>
      </c>
      <c r="U22" s="35"/>
    </row>
    <row r="23" spans="6:21" s="35" customFormat="1" ht="15.75" hidden="1" outlineLevel="2" thickTop="1" x14ac:dyDescent="0.25">
      <c r="F23" s="36"/>
      <c r="H23" s="40"/>
      <c r="I23" s="39" t="s">
        <v>74</v>
      </c>
      <c r="J23" s="32"/>
      <c r="K23" s="32"/>
      <c r="L23" s="32"/>
      <c r="M23" s="30"/>
      <c r="N23" s="32"/>
      <c r="O23" s="32"/>
      <c r="P23" s="32"/>
      <c r="Q23" s="32"/>
      <c r="R23" s="32"/>
      <c r="S23" s="32"/>
      <c r="T23" s="32"/>
    </row>
    <row r="24" spans="6:21" hidden="1" outlineLevel="2" x14ac:dyDescent="0.25">
      <c r="H24" s="17" t="s">
        <v>80</v>
      </c>
      <c r="I24" s="39" t="str">
        <f>_xll.EVDES(H24,$I$59)</f>
        <v>Valmistus omaan kayttoon</v>
      </c>
      <c r="J24" s="32">
        <f>_xll.EVGET($I$59,$J$78,$J$79,$H24,"TOT")</f>
        <v>0</v>
      </c>
      <c r="K24" s="32">
        <f>_xll.EVGET($I$59,$K$78,$K$79,$H24,"TOT")</f>
        <v>0</v>
      </c>
      <c r="L24" s="32">
        <f>_xll.EVGET($I$59,$L$78,$L$79,$H24,"TOT")</f>
        <v>0</v>
      </c>
      <c r="M24" s="32">
        <f>K24+J24</f>
        <v>0</v>
      </c>
      <c r="N24" s="32">
        <f>_xll.EVGET(Käyttötalousosa!$I$59,Käyttötalousosa!$N$78,Käyttötalousosa!$N$79,Käyttötalousosa!$H24,Käyttötalousosa!$D$8)</f>
        <v>0</v>
      </c>
      <c r="O24" s="32"/>
      <c r="P24" s="32"/>
      <c r="Q24" s="32">
        <f>P24+O24</f>
        <v>0</v>
      </c>
      <c r="R24" s="30">
        <f>I!R24</f>
        <v>0</v>
      </c>
      <c r="S24" s="30">
        <f>I!S24</f>
        <v>0</v>
      </c>
      <c r="T24" s="30">
        <f>I!T24</f>
        <v>0</v>
      </c>
      <c r="U24" s="35"/>
    </row>
    <row r="25" spans="6:21" s="35" customFormat="1" hidden="1" outlineLevel="2" x14ac:dyDescent="0.25">
      <c r="F25" s="36"/>
      <c r="H25" s="40"/>
      <c r="I25" s="73" t="s">
        <v>74</v>
      </c>
      <c r="J25" s="32"/>
      <c r="K25" s="32"/>
      <c r="L25" s="32"/>
      <c r="M25" s="30"/>
      <c r="N25" s="32"/>
      <c r="O25" s="32"/>
      <c r="P25" s="32"/>
      <c r="Q25" s="32"/>
      <c r="R25" s="32"/>
      <c r="S25" s="32"/>
      <c r="T25" s="32"/>
    </row>
    <row r="26" spans="6:21" s="35" customFormat="1" hidden="1" outlineLevel="2" x14ac:dyDescent="0.25">
      <c r="F26" s="36"/>
      <c r="H26" s="37">
        <v>40</v>
      </c>
      <c r="I26" s="39" t="str">
        <f>_xll.EVDES(H26,$I$59)</f>
        <v>Henkilostokulut</v>
      </c>
      <c r="J26" s="32">
        <f t="shared" ref="J26:Q26" si="4">J27+J30+J31+J32</f>
        <v>4038424.18</v>
      </c>
      <c r="K26" s="32">
        <f t="shared" si="4"/>
        <v>4674482.2989948001</v>
      </c>
      <c r="L26" s="32">
        <f t="shared" si="4"/>
        <v>0</v>
      </c>
      <c r="M26" s="32">
        <f t="shared" si="4"/>
        <v>4674482.2989948001</v>
      </c>
      <c r="N26" s="32">
        <f t="shared" si="4"/>
        <v>0</v>
      </c>
      <c r="O26" s="32">
        <f t="shared" si="4"/>
        <v>3637718.0100023998</v>
      </c>
      <c r="P26" s="32">
        <f t="shared" si="4"/>
        <v>0</v>
      </c>
      <c r="Q26" s="32">
        <f t="shared" si="4"/>
        <v>3637718.0100023998</v>
      </c>
      <c r="R26" s="30">
        <f>I!R26</f>
        <v>0</v>
      </c>
      <c r="S26" s="30">
        <f>I!S26</f>
        <v>0</v>
      </c>
      <c r="T26" s="30">
        <f>I!T26</f>
        <v>0</v>
      </c>
    </row>
    <row r="27" spans="6:21" s="35" customFormat="1" hidden="1" outlineLevel="2" x14ac:dyDescent="0.25">
      <c r="F27" s="36"/>
      <c r="H27" s="37" t="s">
        <v>83</v>
      </c>
      <c r="I27" s="41" t="str">
        <f>_xll.EVDES(H27,$I$59)</f>
        <v>Palkat ja palkkiot</v>
      </c>
      <c r="J27" s="32">
        <f>_xll.EVGET($I$59,$J$78,$J$79,$H27,"TOT")</f>
        <v>3076171.37</v>
      </c>
      <c r="K27" s="32">
        <f>_xll.EVGET($I$59,$K$78,$K$79,$H27,"TOT")</f>
        <v>3516861.2600003998</v>
      </c>
      <c r="L27" s="32">
        <f>_xll.EVGET($I$59,$L$78,$L$79,$H27,"TOT")</f>
        <v>0</v>
      </c>
      <c r="M27" s="30">
        <f>K27+L27</f>
        <v>3516861.2600003998</v>
      </c>
      <c r="N27" s="32">
        <f>_xll.EVGET($I$59,$N$78,$N$79,$H27,$D$8)</f>
        <v>0</v>
      </c>
      <c r="O27" s="32">
        <f>_xll.EVGET($I$59,$O$78,$O$79,$H27)</f>
        <v>3637718.0100023998</v>
      </c>
      <c r="P27" s="32">
        <f>_xll.EVGET($I$59,$P$78,$P$79,$H27)</f>
        <v>0</v>
      </c>
      <c r="Q27" s="32">
        <f t="shared" ref="Q27:Q40" si="5">P27+O27</f>
        <v>3637718.0100023998</v>
      </c>
      <c r="R27" s="30">
        <f>I!R28</f>
        <v>0</v>
      </c>
      <c r="S27" s="30">
        <f>I!S28</f>
        <v>0</v>
      </c>
      <c r="T27" s="30">
        <f>I!T28</f>
        <v>0</v>
      </c>
    </row>
    <row r="28" spans="6:21" s="35" customFormat="1" hidden="1" outlineLevel="2" x14ac:dyDescent="0.25">
      <c r="F28" s="36"/>
      <c r="H28" s="37"/>
      <c r="I28" s="41"/>
      <c r="J28" s="32"/>
      <c r="K28" s="32"/>
      <c r="L28" s="32"/>
      <c r="M28" s="30"/>
      <c r="N28" s="32"/>
      <c r="O28" s="32"/>
      <c r="P28" s="32"/>
      <c r="Q28" s="32"/>
      <c r="R28" s="30">
        <f>I!R28</f>
        <v>0</v>
      </c>
      <c r="S28" s="30">
        <f>I!S28</f>
        <v>0</v>
      </c>
      <c r="T28" s="30">
        <f>I!T28</f>
        <v>0</v>
      </c>
    </row>
    <row r="29" spans="6:21" s="35" customFormat="1" hidden="1" outlineLevel="2" x14ac:dyDescent="0.25">
      <c r="F29" s="36"/>
      <c r="I29" s="41" t="s">
        <v>77</v>
      </c>
      <c r="J29" s="32">
        <f>J30+J31</f>
        <v>1030450.27</v>
      </c>
      <c r="K29" s="32">
        <f>K30+K31</f>
        <v>1157621.0389944001</v>
      </c>
      <c r="L29" s="32">
        <f>L30+L31</f>
        <v>0</v>
      </c>
      <c r="M29" s="30">
        <f t="shared" ref="M29:M40" si="6">K29+L29</f>
        <v>1157621.0389944001</v>
      </c>
      <c r="N29" s="32">
        <f>N30+N31</f>
        <v>0</v>
      </c>
      <c r="O29" s="32">
        <f>O30+O31</f>
        <v>0</v>
      </c>
      <c r="P29" s="32">
        <f>P30+P31</f>
        <v>0</v>
      </c>
      <c r="Q29" s="32">
        <f t="shared" si="5"/>
        <v>0</v>
      </c>
      <c r="R29" s="30">
        <f>I!R29</f>
        <v>0</v>
      </c>
      <c r="S29" s="30">
        <f>I!S29</f>
        <v>0</v>
      </c>
      <c r="T29" s="30">
        <f>I!T29</f>
        <v>0</v>
      </c>
    </row>
    <row r="30" spans="6:21" s="35" customFormat="1" hidden="1" outlineLevel="2" x14ac:dyDescent="0.25">
      <c r="F30" s="36"/>
      <c r="H30" s="37">
        <v>410</v>
      </c>
      <c r="I30" s="41" t="str">
        <f>_xll.EVDES(H30,$I$59)</f>
        <v>Elakekulut</v>
      </c>
      <c r="J30" s="32">
        <f>_xll.EVGET($I$59,$J$78,$J$79,$H30,"TOT")</f>
        <v>851389.06</v>
      </c>
      <c r="K30" s="32">
        <f>_xll.EVGET($I$59,$K$78,$K$79,$H30,"TOT")</f>
        <v>940982.38537919999</v>
      </c>
      <c r="L30" s="32">
        <f>_xll.EVGET($I$59,$L$78,$L$79,$H30,"TOT")</f>
        <v>0</v>
      </c>
      <c r="M30" s="30">
        <f t="shared" si="6"/>
        <v>940982.38537919999</v>
      </c>
      <c r="N30" s="32">
        <f>_xll.EVGET(Käyttötalousosa!$I$59,Käyttötalousosa!$N$78,Käyttötalousosa!$N$79,Käyttötalousosa!$H30,Käyttötalousosa!$D$8)</f>
        <v>0</v>
      </c>
      <c r="O30" s="32"/>
      <c r="P30" s="32"/>
      <c r="Q30" s="32">
        <f t="shared" si="5"/>
        <v>0</v>
      </c>
      <c r="R30" s="30">
        <f>I!R30</f>
        <v>0</v>
      </c>
      <c r="S30" s="30">
        <f>I!S30</f>
        <v>0</v>
      </c>
      <c r="T30" s="30">
        <f>I!T30</f>
        <v>0</v>
      </c>
    </row>
    <row r="31" spans="6:21" s="35" customFormat="1" hidden="1" outlineLevel="2" x14ac:dyDescent="0.25">
      <c r="F31" s="36"/>
      <c r="H31" s="37">
        <v>415</v>
      </c>
      <c r="I31" s="41" t="str">
        <f>_xll.EVDES(H31,$I$59)</f>
        <v>Muut henkilostosivukulut</v>
      </c>
      <c r="J31" s="32">
        <f>_xll.EVGET($I$59,$J$78,$J$79,$H31,"TOT")</f>
        <v>179061.21</v>
      </c>
      <c r="K31" s="32">
        <f>_xll.EVGET($I$59,$K$78,$K$79,$H31,"TOT")</f>
        <v>216638.65361519999</v>
      </c>
      <c r="L31" s="32">
        <f>_xll.EVGET($I$59,$L$78,$L$79,$H31,"TOT")</f>
        <v>0</v>
      </c>
      <c r="M31" s="30">
        <f t="shared" si="6"/>
        <v>216638.65361519999</v>
      </c>
      <c r="N31" s="32">
        <f>_xll.EVGET(Käyttötalousosa!$I$59,Käyttötalousosa!$N$78,Käyttötalousosa!$N$79,Käyttötalousosa!$H31,Käyttötalousosa!$D$8)</f>
        <v>0</v>
      </c>
      <c r="O31" s="32"/>
      <c r="P31" s="32"/>
      <c r="Q31" s="32">
        <f t="shared" si="5"/>
        <v>0</v>
      </c>
      <c r="R31" s="30">
        <f>I!R31</f>
        <v>0</v>
      </c>
      <c r="S31" s="30">
        <f>I!S31</f>
        <v>0</v>
      </c>
      <c r="T31" s="30">
        <f>I!T31</f>
        <v>0</v>
      </c>
    </row>
    <row r="32" spans="6:21" s="35" customFormat="1" hidden="1" outlineLevel="2" x14ac:dyDescent="0.25">
      <c r="F32" s="36"/>
      <c r="H32" s="37">
        <v>423</v>
      </c>
      <c r="I32" s="41" t="str">
        <f>_xll.EVDES(H32,$I$59)</f>
        <v>Hlostokorvaukset &amp; -menojen korjauserat</v>
      </c>
      <c r="J32" s="32">
        <f>_xll.EVGET($I$59,$J$78,$J$79,$H32,"TOT")</f>
        <v>-68197.460000000006</v>
      </c>
      <c r="K32" s="32">
        <f>_xll.EVGET($I$59,$K$78,$K$79,$H32,"TOT")</f>
        <v>0</v>
      </c>
      <c r="L32" s="32">
        <f>_xll.EVGET($I$59,$L$78,$L$79,$H32,"TOT")</f>
        <v>0</v>
      </c>
      <c r="M32" s="30">
        <f t="shared" si="6"/>
        <v>0</v>
      </c>
      <c r="N32" s="32">
        <f>_xll.EVGET(Käyttötalousosa!$I$59,Käyttötalousosa!$N$78,Käyttötalousosa!$N$79,Käyttötalousosa!$H32,Käyttötalousosa!$D$8)</f>
        <v>0</v>
      </c>
      <c r="O32" s="32"/>
      <c r="P32" s="32"/>
      <c r="Q32" s="32">
        <f t="shared" si="5"/>
        <v>0</v>
      </c>
      <c r="R32" s="30">
        <f>I!R32</f>
        <v>0</v>
      </c>
      <c r="S32" s="30">
        <f>I!S32</f>
        <v>0</v>
      </c>
      <c r="T32" s="30">
        <f>I!T32</f>
        <v>0</v>
      </c>
    </row>
    <row r="33" spans="6:21" s="35" customFormat="1" hidden="1" outlineLevel="2" x14ac:dyDescent="0.25">
      <c r="F33" s="36"/>
      <c r="H33" s="37"/>
      <c r="I33" s="41" t="s">
        <v>74</v>
      </c>
      <c r="J33" s="32"/>
      <c r="K33" s="32"/>
      <c r="L33" s="32"/>
      <c r="M33" s="30"/>
      <c r="N33" s="32"/>
      <c r="O33" s="32"/>
      <c r="P33" s="32"/>
      <c r="Q33" s="32"/>
      <c r="R33" s="32"/>
      <c r="S33" s="32"/>
      <c r="T33" s="32"/>
    </row>
    <row r="34" spans="6:21" s="35" customFormat="1" hidden="1" outlineLevel="2" x14ac:dyDescent="0.25">
      <c r="F34" s="36"/>
      <c r="H34" s="37">
        <v>43</v>
      </c>
      <c r="I34" s="39" t="str">
        <f>_xll.EVDES(H34,$I$59)</f>
        <v>Palvelujen ostot</v>
      </c>
      <c r="J34" s="32">
        <f>_xll.EVGET($I$59,$J$78,$J$79,$H34,"TOT")</f>
        <v>2022817.05</v>
      </c>
      <c r="K34" s="32">
        <f>_xll.EVGET($I$59,$K$78,$K$79,$H34,"TOT")</f>
        <v>1602730.5199992</v>
      </c>
      <c r="L34" s="32">
        <f>_xll.EVGET($I$59,$L$78,$L$79,$H34,"TOT")</f>
        <v>0</v>
      </c>
      <c r="M34" s="30">
        <f t="shared" si="6"/>
        <v>1602730.5199992</v>
      </c>
      <c r="N34" s="32">
        <f>_xll.EVGET(Käyttötalousosa!$I$59,Käyttötalousosa!$N$78,Käyttötalousosa!$N$79,Käyttötalousosa!$H34,Käyttötalousosa!$D$8)</f>
        <v>0</v>
      </c>
      <c r="O34" s="32"/>
      <c r="P34" s="32"/>
      <c r="Q34" s="32">
        <f t="shared" si="5"/>
        <v>0</v>
      </c>
      <c r="R34" s="30">
        <f>I!R34</f>
        <v>0</v>
      </c>
      <c r="S34" s="30">
        <f>I!S34</f>
        <v>0</v>
      </c>
      <c r="T34" s="30">
        <f>I!T34</f>
        <v>0</v>
      </c>
    </row>
    <row r="35" spans="6:21" s="35" customFormat="1" hidden="1" outlineLevel="2" x14ac:dyDescent="0.25">
      <c r="F35" s="36"/>
      <c r="H35" s="37">
        <v>430</v>
      </c>
      <c r="I35" s="41" t="str">
        <f>_xll.EVDES(H35,$I$59)</f>
        <v>Asiakaspalvelujen ostot</v>
      </c>
      <c r="J35" s="32">
        <f>_xll.EVGET($I$59,$J$78,$J$79,$H35,"TOT")</f>
        <v>0</v>
      </c>
      <c r="K35" s="32">
        <f>_xll.EVGET($I$59,$K$78,$K$79,$H35,"TOT")</f>
        <v>0</v>
      </c>
      <c r="L35" s="32">
        <f>_xll.EVGET($I$59,$L$78,$L$79,$H35,"TOT")</f>
        <v>0</v>
      </c>
      <c r="M35" s="30">
        <f t="shared" si="6"/>
        <v>0</v>
      </c>
      <c r="N35" s="32">
        <f>_xll.EVGET(Käyttötalousosa!$I$59,Käyttötalousosa!$N$78,Käyttötalousosa!$N$79,Käyttötalousosa!$H35,Käyttötalousosa!$D$8)</f>
        <v>0</v>
      </c>
      <c r="O35" s="32"/>
      <c r="P35" s="32"/>
      <c r="Q35" s="32">
        <f t="shared" si="5"/>
        <v>0</v>
      </c>
      <c r="R35" s="30">
        <f>I!R35</f>
        <v>0</v>
      </c>
      <c r="S35" s="30">
        <f>I!S35</f>
        <v>0</v>
      </c>
      <c r="T35" s="30">
        <f>I!T35</f>
        <v>0</v>
      </c>
    </row>
    <row r="36" spans="6:21" s="35" customFormat="1" hidden="1" outlineLevel="2" x14ac:dyDescent="0.25">
      <c r="F36" s="36"/>
      <c r="H36" s="37">
        <v>434</v>
      </c>
      <c r="I36" s="41" t="str">
        <f>_xll.EVDES(H36,$I$59)</f>
        <v>Muiden palvelujen ostot</v>
      </c>
      <c r="J36" s="32">
        <f>_xll.EVGET($I$59,$J$78,$J$79,$H36,"TOT")</f>
        <v>2022817.05</v>
      </c>
      <c r="K36" s="32">
        <f>_xll.EVGET($I$59,$K$78,$K$79,$H36,"TOT")</f>
        <v>1602730.5199992</v>
      </c>
      <c r="L36" s="32">
        <f>_xll.EVGET($I$59,$L$78,$L$79,$H36,"TOT")</f>
        <v>0</v>
      </c>
      <c r="M36" s="30">
        <f t="shared" si="6"/>
        <v>1602730.5199992</v>
      </c>
      <c r="N36" s="32">
        <f>_xll.EVGET(Käyttötalousosa!$I$59,Käyttötalousosa!$N$78,Käyttötalousosa!$N$79,Käyttötalousosa!$H36,Käyttötalousosa!$D$8)</f>
        <v>0</v>
      </c>
      <c r="O36" s="32"/>
      <c r="P36" s="32"/>
      <c r="Q36" s="32">
        <f t="shared" si="5"/>
        <v>0</v>
      </c>
      <c r="R36" s="30">
        <f>I!R36</f>
        <v>0</v>
      </c>
      <c r="S36" s="30">
        <f>I!S36</f>
        <v>0</v>
      </c>
      <c r="T36" s="30">
        <f>I!T36</f>
        <v>0</v>
      </c>
    </row>
    <row r="37" spans="6:21" s="35" customFormat="1" hidden="1" outlineLevel="2" x14ac:dyDescent="0.25">
      <c r="F37" s="36"/>
      <c r="H37" s="37">
        <v>45</v>
      </c>
      <c r="I37" s="39" t="str">
        <f>_xll.EVDES(H37,$I$59)</f>
        <v>Aineet, tarvikkeet ja tavarat</v>
      </c>
      <c r="J37" s="32">
        <f>_xll.EVGET($I$59,$J$78,$J$79,$H37,"TOT")</f>
        <v>1492470.88</v>
      </c>
      <c r="K37" s="32">
        <f>_xll.EVGET($I$59,$K$78,$K$79,$H37,"TOT")</f>
        <v>1856977.7399964</v>
      </c>
      <c r="L37" s="32">
        <f>_xll.EVGET($I$59,$L$78,$L$79,$H37,"TOT")</f>
        <v>0</v>
      </c>
      <c r="M37" s="30">
        <f t="shared" si="6"/>
        <v>1856977.7399964</v>
      </c>
      <c r="N37" s="32">
        <f>_xll.EVGET(Käyttötalousosa!$I$59,Käyttötalousosa!$N$78,Käyttötalousosa!$N$79,Käyttötalousosa!$H37,Käyttötalousosa!$D$8)</f>
        <v>0</v>
      </c>
      <c r="O37" s="32"/>
      <c r="P37" s="32"/>
      <c r="Q37" s="32">
        <f t="shared" si="5"/>
        <v>0</v>
      </c>
      <c r="R37" s="30">
        <f>I!R37</f>
        <v>0</v>
      </c>
      <c r="S37" s="30">
        <f>I!S37</f>
        <v>0</v>
      </c>
      <c r="T37" s="30">
        <f>I!T37</f>
        <v>0</v>
      </c>
    </row>
    <row r="38" spans="6:21" s="35" customFormat="1" hidden="1" outlineLevel="2" x14ac:dyDescent="0.25">
      <c r="F38" s="36"/>
      <c r="H38" s="37">
        <v>47</v>
      </c>
      <c r="I38" s="39" t="str">
        <f>_xll.EVDES(H38,$I$59)</f>
        <v>Avustukset</v>
      </c>
      <c r="J38" s="32">
        <f>_xll.EVGET($I$59,$J$78,$J$79,$H38,"TOT")</f>
        <v>1525285.05</v>
      </c>
      <c r="K38" s="32">
        <f>_xll.EVGET($I$59,$K$78,$K$79,$H38,"TOT")</f>
        <v>1584999.9999984</v>
      </c>
      <c r="L38" s="32">
        <f>_xll.EVGET($I$59,$L$78,$L$79,$H38,"TOT")</f>
        <v>0</v>
      </c>
      <c r="M38" s="30">
        <f t="shared" si="6"/>
        <v>1584999.9999984</v>
      </c>
      <c r="N38" s="32">
        <f>_xll.EVGET(Käyttötalousosa!$I$59,Käyttötalousosa!$N$78,Käyttötalousosa!$N$79,Käyttötalousosa!$H38,Käyttötalousosa!$D$8)</f>
        <v>0</v>
      </c>
      <c r="O38" s="32"/>
      <c r="P38" s="32"/>
      <c r="Q38" s="32">
        <f t="shared" si="5"/>
        <v>0</v>
      </c>
      <c r="R38" s="30">
        <f>I!R38</f>
        <v>0</v>
      </c>
      <c r="S38" s="30">
        <f>I!S38</f>
        <v>0</v>
      </c>
      <c r="T38" s="30">
        <f>I!T38</f>
        <v>0</v>
      </c>
    </row>
    <row r="39" spans="6:21" s="35" customFormat="1" hidden="1" outlineLevel="2" x14ac:dyDescent="0.25">
      <c r="F39" s="36"/>
      <c r="H39" s="37">
        <v>480</v>
      </c>
      <c r="I39" s="39" t="str">
        <f>_xll.EVDES(H39,$I$59)</f>
        <v>Vuokrat</v>
      </c>
      <c r="J39" s="32">
        <f>_xll.EVGET($I$59,$J$78,$J$79,$H39,"TOT")</f>
        <v>8342803.0899999999</v>
      </c>
      <c r="K39" s="32">
        <f>_xll.EVGET($I$59,$K$78,$K$79,$H39,"TOT")</f>
        <v>10148498.9999988</v>
      </c>
      <c r="L39" s="32">
        <f>_xll.EVGET($I$59,$L$78,$L$79,$H39,"TOT")</f>
        <v>0</v>
      </c>
      <c r="M39" s="30">
        <f t="shared" si="6"/>
        <v>10148498.9999988</v>
      </c>
      <c r="N39" s="32">
        <f>_xll.EVGET(Käyttötalousosa!$I$59,Käyttötalousosa!$N$78,Käyttötalousosa!$N$79,Käyttötalousosa!$H39,Käyttötalousosa!$D$8)</f>
        <v>0</v>
      </c>
      <c r="O39" s="32"/>
      <c r="P39" s="32"/>
      <c r="Q39" s="32">
        <f t="shared" si="5"/>
        <v>0</v>
      </c>
      <c r="R39" s="30">
        <f>I!R39</f>
        <v>0</v>
      </c>
      <c r="S39" s="30">
        <f>I!S39</f>
        <v>0</v>
      </c>
      <c r="T39" s="30">
        <f>I!T39</f>
        <v>0</v>
      </c>
    </row>
    <row r="40" spans="6:21" s="35" customFormat="1" hidden="1" outlineLevel="2" x14ac:dyDescent="0.25">
      <c r="F40" s="36"/>
      <c r="H40" s="37">
        <v>490</v>
      </c>
      <c r="I40" s="39" t="str">
        <f>_xll.EVDES(H40,$I$59)</f>
        <v>Muut toimintakulut</v>
      </c>
      <c r="J40" s="32">
        <f>_xll.EVGET($I$59,$J$78,$J$79,$H40,"TOT")</f>
        <v>69983.48</v>
      </c>
      <c r="K40" s="32">
        <f>_xll.EVGET($I$59,$K$78,$K$79,$H40,"TOT")</f>
        <v>79438.000002000001</v>
      </c>
      <c r="L40" s="32">
        <f>_xll.EVGET($I$59,$L$78,$L$79,$H40,"TOT")</f>
        <v>0</v>
      </c>
      <c r="M40" s="30">
        <f t="shared" si="6"/>
        <v>79438.000002000001</v>
      </c>
      <c r="N40" s="32">
        <f>_xll.EVGET(Käyttötalousosa!$I$59,Käyttötalousosa!$N$78,Käyttötalousosa!$N$79,Käyttötalousosa!$H40,Käyttötalousosa!$D$8)</f>
        <v>0</v>
      </c>
      <c r="O40" s="32"/>
      <c r="P40" s="32"/>
      <c r="Q40" s="32">
        <f t="shared" si="5"/>
        <v>0</v>
      </c>
      <c r="R40" s="30">
        <f>I!R40</f>
        <v>0</v>
      </c>
      <c r="S40" s="30">
        <f>I!S40</f>
        <v>0</v>
      </c>
      <c r="T40" s="30">
        <f>I!T40</f>
        <v>0</v>
      </c>
    </row>
    <row r="41" spans="6:21" s="35" customFormat="1" hidden="1" outlineLevel="2" x14ac:dyDescent="0.25">
      <c r="F41" s="36"/>
      <c r="H41" s="37"/>
      <c r="I41" s="42" t="s">
        <v>74</v>
      </c>
      <c r="J41" s="32"/>
      <c r="K41" s="32"/>
      <c r="L41" s="32"/>
      <c r="M41" s="30"/>
      <c r="N41" s="32"/>
      <c r="O41" s="32"/>
      <c r="P41" s="32"/>
      <c r="Q41" s="32"/>
      <c r="R41" s="32"/>
      <c r="S41" s="32"/>
      <c r="T41" s="32"/>
    </row>
    <row r="42" spans="6:21" ht="15.75" hidden="1" outlineLevel="2" thickBot="1" x14ac:dyDescent="0.3">
      <c r="H42" s="16" t="s">
        <v>60</v>
      </c>
      <c r="I42" s="46" t="str">
        <f>_xll.EVDES(H42,$I$59)</f>
        <v>Toimintakulut</v>
      </c>
      <c r="J42" s="44">
        <f>J26+J34+J37+J38+J39+J40</f>
        <v>17491783.73</v>
      </c>
      <c r="K42" s="44">
        <f t="shared" ref="K42:T42" si="7">K26+K34+K37+K38+K39+K40</f>
        <v>19947127.558989603</v>
      </c>
      <c r="L42" s="44">
        <f t="shared" si="7"/>
        <v>0</v>
      </c>
      <c r="M42" s="44">
        <f t="shared" si="7"/>
        <v>19947127.558989603</v>
      </c>
      <c r="N42" s="44">
        <f t="shared" si="7"/>
        <v>0</v>
      </c>
      <c r="O42" s="44">
        <f t="shared" si="7"/>
        <v>3637718.0100023998</v>
      </c>
      <c r="P42" s="44">
        <f t="shared" si="7"/>
        <v>0</v>
      </c>
      <c r="Q42" s="44">
        <f t="shared" si="7"/>
        <v>3637718.0100023998</v>
      </c>
      <c r="R42" s="44">
        <f t="shared" si="7"/>
        <v>0</v>
      </c>
      <c r="S42" s="44">
        <f t="shared" si="7"/>
        <v>0</v>
      </c>
      <c r="T42" s="44">
        <f t="shared" si="7"/>
        <v>0</v>
      </c>
      <c r="U42" s="35"/>
    </row>
    <row r="43" spans="6:21" s="35" customFormat="1" ht="15.75" hidden="1" outlineLevel="2" thickTop="1" x14ac:dyDescent="0.25">
      <c r="F43" s="36"/>
      <c r="H43" s="37"/>
      <c r="I43" s="39" t="s">
        <v>74</v>
      </c>
      <c r="J43" s="32"/>
      <c r="K43" s="32"/>
      <c r="L43" s="32"/>
      <c r="M43" s="30" t="s">
        <v>74</v>
      </c>
      <c r="N43" s="29"/>
      <c r="O43" s="32"/>
      <c r="P43" s="29"/>
      <c r="Q43" s="29"/>
      <c r="R43" s="32"/>
      <c r="S43" s="32"/>
      <c r="T43" s="32"/>
    </row>
    <row r="44" spans="6:21" ht="15.75" hidden="1" outlineLevel="2" thickBot="1" x14ac:dyDescent="0.3">
      <c r="H44" s="16" t="s">
        <v>61</v>
      </c>
      <c r="I44" s="46" t="str">
        <f>_xll.EVDES(H44,$I$59)</f>
        <v>Toimintakate</v>
      </c>
      <c r="J44" s="44">
        <f>J22+J24-J42</f>
        <v>-15478139.59</v>
      </c>
      <c r="K44" s="44">
        <f>K22+K24-K42</f>
        <v>-16229419.558989603</v>
      </c>
      <c r="L44" s="44">
        <f>L22+L24-L42</f>
        <v>0</v>
      </c>
      <c r="M44" s="44">
        <f>M22+M24-M42</f>
        <v>-16229419.558989603</v>
      </c>
      <c r="N44" s="44">
        <f t="shared" ref="N44:T44" si="8">N22+N24-N42</f>
        <v>0</v>
      </c>
      <c r="O44" s="44">
        <f t="shared" si="8"/>
        <v>-3637718.0100023998</v>
      </c>
      <c r="P44" s="44">
        <f t="shared" si="8"/>
        <v>0</v>
      </c>
      <c r="Q44" s="44">
        <f t="shared" si="8"/>
        <v>-3637718.0100023998</v>
      </c>
      <c r="R44" s="44">
        <f t="shared" si="8"/>
        <v>0</v>
      </c>
      <c r="S44" s="44">
        <f t="shared" si="8"/>
        <v>0</v>
      </c>
      <c r="T44" s="44">
        <f t="shared" si="8"/>
        <v>0</v>
      </c>
      <c r="U44" s="35"/>
    </row>
    <row r="45" spans="6:21" s="35" customFormat="1" ht="15.75" hidden="1" outlineLevel="2" thickTop="1" x14ac:dyDescent="0.25">
      <c r="F45" s="36"/>
      <c r="H45" s="37"/>
      <c r="I45" s="73" t="s">
        <v>74</v>
      </c>
      <c r="J45" s="32"/>
      <c r="K45" s="32"/>
      <c r="L45" s="32"/>
      <c r="M45" s="30"/>
      <c r="N45" s="32"/>
      <c r="O45" s="32"/>
      <c r="P45" s="32"/>
      <c r="Q45" s="32"/>
      <c r="R45" s="32"/>
      <c r="S45" s="32"/>
      <c r="T45" s="32"/>
    </row>
    <row r="46" spans="6:21" s="35" customFormat="1" hidden="1" outlineLevel="2" x14ac:dyDescent="0.25">
      <c r="F46" s="36"/>
      <c r="H46" s="37">
        <v>50</v>
      </c>
      <c r="I46" s="39" t="str">
        <f>_xll.EVDES(H46,$I$59)</f>
        <v>Verotulot ja valtionosuudet</v>
      </c>
      <c r="J46" s="32">
        <f>_xll.EVGET($I$59,$J$78,$J$79,$H46,"TOT")</f>
        <v>0</v>
      </c>
      <c r="K46" s="32">
        <f>_xll.EVGET($I$59,$K$78,$K$79,$H46,"TOT")</f>
        <v>0</v>
      </c>
      <c r="L46" s="32">
        <f>_xll.EVGET($I$59,$L$78,$L$79,$H46,"TOT")</f>
        <v>0</v>
      </c>
      <c r="M46" s="30">
        <f>K46+L46</f>
        <v>0</v>
      </c>
      <c r="N46" s="32">
        <f>_xll.EVGET(Käyttötalousosa!$I$59,Käyttötalousosa!$N$78,Käyttötalousosa!$N$79,Käyttötalousosa!$H46,Käyttötalousosa!$D$8)</f>
        <v>0</v>
      </c>
      <c r="O46" s="32"/>
      <c r="P46" s="32"/>
      <c r="Q46" s="32">
        <f>P46+O46</f>
        <v>0</v>
      </c>
      <c r="R46" s="30">
        <f>I!R46</f>
        <v>0</v>
      </c>
      <c r="S46" s="30">
        <f>I!S46</f>
        <v>0</v>
      </c>
      <c r="T46" s="30">
        <f>I!T46</f>
        <v>0</v>
      </c>
    </row>
    <row r="47" spans="6:21" s="35" customFormat="1" hidden="1" outlineLevel="2" x14ac:dyDescent="0.25">
      <c r="F47" s="36"/>
      <c r="H47" s="37">
        <v>60</v>
      </c>
      <c r="I47" s="39" t="str">
        <f>_xll.EVDES(H47,$I$59)</f>
        <v>Rahoitustuotot ja -kulut</v>
      </c>
      <c r="J47" s="32">
        <f>_xll.EVGET($I$59,$J$78,$J$79,$H47,"TOT")</f>
        <v>-40.61</v>
      </c>
      <c r="K47" s="32">
        <f>_xll.EVGET($I$59,$K$78,$K$79,$H47,"TOT")</f>
        <v>0</v>
      </c>
      <c r="L47" s="32">
        <f>_xll.EVGET($I$59,$L$78,$L$79,$H47,"TOT")</f>
        <v>0</v>
      </c>
      <c r="M47" s="30">
        <f>K47+L47</f>
        <v>0</v>
      </c>
      <c r="N47" s="32">
        <f>_xll.EVGET(Käyttötalousosa!$I$59,Käyttötalousosa!$N$78,Käyttötalousosa!$N$79,Käyttötalousosa!$H47,Käyttötalousosa!$D$8)</f>
        <v>0</v>
      </c>
      <c r="O47" s="32"/>
      <c r="P47" s="32"/>
      <c r="Q47" s="32">
        <f>P47+O47</f>
        <v>0</v>
      </c>
      <c r="R47" s="30">
        <f>I!R47</f>
        <v>0</v>
      </c>
      <c r="S47" s="30">
        <f>I!S47</f>
        <v>0</v>
      </c>
      <c r="T47" s="30">
        <f>I!T47</f>
        <v>0</v>
      </c>
    </row>
    <row r="48" spans="6:21" s="35" customFormat="1" hidden="1" outlineLevel="2" x14ac:dyDescent="0.25">
      <c r="F48" s="36"/>
      <c r="H48" s="37">
        <v>70</v>
      </c>
      <c r="I48" s="39" t="str">
        <f>_xll.EVDES(H48,$I$59)</f>
        <v>Poistot ja arvonalentumiset</v>
      </c>
      <c r="J48" s="32">
        <f>_xll.EVGET($I$59,$J$78,$J$79,$H48,"TOT")</f>
        <v>168523</v>
      </c>
      <c r="K48" s="32">
        <f>_xll.EVGET($I$59,$K$78,$K$79,$H48,"TOT")</f>
        <v>214523.0000004</v>
      </c>
      <c r="L48" s="32">
        <f>_xll.EVGET($I$59,$L$78,$L$79,$H48,"TOT")</f>
        <v>0</v>
      </c>
      <c r="M48" s="30">
        <f>K48+L48</f>
        <v>214523.0000004</v>
      </c>
      <c r="N48" s="32">
        <f>_xll.EVGET(Käyttötalousosa!$I$59,Käyttötalousosa!$N$78,Käyttötalousosa!$N$79,Käyttötalousosa!$H48,Käyttötalousosa!$D$8)</f>
        <v>0</v>
      </c>
      <c r="O48" s="32"/>
      <c r="P48" s="32"/>
      <c r="Q48" s="32">
        <f>P48+O48</f>
        <v>0</v>
      </c>
      <c r="R48" s="30">
        <f>I!R48</f>
        <v>0</v>
      </c>
      <c r="S48" s="30">
        <f>I!S48</f>
        <v>0</v>
      </c>
      <c r="T48" s="30">
        <f>I!T48</f>
        <v>0</v>
      </c>
    </row>
    <row r="49" spans="1:21" s="35" customFormat="1" hidden="1" outlineLevel="2" x14ac:dyDescent="0.25">
      <c r="F49" s="36"/>
      <c r="H49" s="37">
        <v>80</v>
      </c>
      <c r="I49" s="39" t="str">
        <f>_xll.EVDES(H49,$I$59)</f>
        <v>Satunnaiset tuotot ja kulut</v>
      </c>
      <c r="J49" s="32">
        <f>_xll.EVGET($I$59,$J$78,$J$79,$H49,"TOT")</f>
        <v>0</v>
      </c>
      <c r="K49" s="32">
        <f>_xll.EVGET($I$59,$K$78,$K$79,$H49,"TOT")</f>
        <v>0</v>
      </c>
      <c r="L49" s="32">
        <f>_xll.EVGET($I$59,$L$78,$L$79,$H49,"TOT")</f>
        <v>0</v>
      </c>
      <c r="M49" s="30">
        <f>K49+L49</f>
        <v>0</v>
      </c>
      <c r="N49" s="32">
        <f>_xll.EVGET(Käyttötalousosa!$I$59,Käyttötalousosa!$N$78,Käyttötalousosa!$N$79,Käyttötalousosa!$H49,Käyttötalousosa!$D$8)</f>
        <v>0</v>
      </c>
      <c r="O49" s="32"/>
      <c r="P49" s="32"/>
      <c r="Q49" s="32">
        <f>P49+O49</f>
        <v>0</v>
      </c>
      <c r="R49" s="30">
        <f>I!R49</f>
        <v>0</v>
      </c>
      <c r="S49" s="30">
        <f>I!S49</f>
        <v>0</v>
      </c>
      <c r="T49" s="30">
        <f>I!T49</f>
        <v>0</v>
      </c>
    </row>
    <row r="50" spans="1:21" s="35" customFormat="1" hidden="1" outlineLevel="2" x14ac:dyDescent="0.25">
      <c r="F50" s="36"/>
      <c r="H50" s="37">
        <v>85</v>
      </c>
      <c r="I50" s="39" t="str">
        <f>_xll.EVDES(H50,$I$59)</f>
        <v>Varausten ja rahastojen muutokset</v>
      </c>
      <c r="J50" s="32">
        <f>_xll.EVGET($I$59,$J$78,$J$79,$H50,"TOT")</f>
        <v>0</v>
      </c>
      <c r="K50" s="32">
        <f>_xll.EVGET($I$59,$K$78,$K$79,$H50,"TOT")</f>
        <v>0</v>
      </c>
      <c r="L50" s="32">
        <f>_xll.EVGET($I$59,$L$78,$L$79,$H50,"TOT")</f>
        <v>0</v>
      </c>
      <c r="M50" s="30">
        <f>K50+L50</f>
        <v>0</v>
      </c>
      <c r="N50" s="32">
        <f>_xll.EVGET(Käyttötalousosa!$I$59,Käyttötalousosa!$N$78,Käyttötalousosa!$N$79,Käyttötalousosa!$H50,Käyttötalousosa!$D$8)</f>
        <v>0</v>
      </c>
      <c r="O50" s="32"/>
      <c r="P50" s="32"/>
      <c r="Q50" s="32">
        <f>P50+O50</f>
        <v>0</v>
      </c>
      <c r="R50" s="30">
        <f>I!R50</f>
        <v>0</v>
      </c>
      <c r="S50" s="30">
        <f>I!S50</f>
        <v>0</v>
      </c>
      <c r="T50" s="30">
        <f>I!T50</f>
        <v>0</v>
      </c>
    </row>
    <row r="51" spans="1:21" s="35" customFormat="1" hidden="1" outlineLevel="2" x14ac:dyDescent="0.25">
      <c r="F51" s="36"/>
      <c r="H51" s="37"/>
      <c r="I51" s="38" t="s">
        <v>74</v>
      </c>
      <c r="J51" s="32"/>
      <c r="K51" s="32"/>
      <c r="L51" s="32"/>
      <c r="M51" s="30"/>
      <c r="N51" s="32"/>
      <c r="O51" s="32"/>
      <c r="P51" s="32"/>
      <c r="Q51" s="32"/>
      <c r="R51" s="32"/>
      <c r="S51" s="32"/>
      <c r="T51" s="32"/>
    </row>
    <row r="52" spans="1:21" ht="15.75" hidden="1" outlineLevel="2" thickBot="1" x14ac:dyDescent="0.3">
      <c r="H52" s="16"/>
      <c r="I52" s="63" t="s">
        <v>62</v>
      </c>
      <c r="J52" s="44">
        <f>J44-J48+J49+J50+J47+J46</f>
        <v>-15646703.199999999</v>
      </c>
      <c r="K52" s="44">
        <f t="shared" ref="K52:T52" si="9">K44-K48+K49+K50+K47+K46</f>
        <v>-16443942.558990004</v>
      </c>
      <c r="L52" s="44">
        <f t="shared" si="9"/>
        <v>0</v>
      </c>
      <c r="M52" s="44">
        <f t="shared" si="9"/>
        <v>-16443942.558990004</v>
      </c>
      <c r="N52" s="44">
        <f t="shared" si="9"/>
        <v>0</v>
      </c>
      <c r="O52" s="44">
        <f t="shared" si="9"/>
        <v>-3637718.0100023998</v>
      </c>
      <c r="P52" s="44">
        <f t="shared" si="9"/>
        <v>0</v>
      </c>
      <c r="Q52" s="44">
        <f t="shared" si="9"/>
        <v>-3637718.0100023998</v>
      </c>
      <c r="R52" s="44">
        <f t="shared" si="9"/>
        <v>0</v>
      </c>
      <c r="S52" s="44">
        <f t="shared" si="9"/>
        <v>0</v>
      </c>
      <c r="T52" s="44">
        <f t="shared" si="9"/>
        <v>0</v>
      </c>
      <c r="U52" s="35"/>
    </row>
    <row r="53" spans="1:21" ht="15.75" hidden="1" outlineLevel="2" thickTop="1" x14ac:dyDescent="0.25">
      <c r="A53" s="35"/>
      <c r="B53" s="35"/>
      <c r="C53" s="35"/>
      <c r="D53" s="35"/>
      <c r="E53" s="35"/>
      <c r="F53" s="36"/>
      <c r="G53" s="35"/>
      <c r="H53" s="37"/>
      <c r="I53" s="73" t="s">
        <v>74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5"/>
    </row>
    <row r="54" spans="1:21" hidden="1" outlineLevel="2" x14ac:dyDescent="0.25">
      <c r="H54" s="16"/>
      <c r="I54" s="67" t="s">
        <v>87</v>
      </c>
      <c r="J54" s="34">
        <f>_xll.EVGET($I$59,J$78,$I$62,$I$63,$I$64,$I$66,J$79,$I$69,"YHT","TILI:3","VERSIO:TOT")</f>
        <v>123901.95</v>
      </c>
      <c r="K54" s="34">
        <f>_xll.EVGET($I$59,K$78,$I$62,$I$63,$I$64,$I$66,K$79,$I$69,"YHT","TILI:3","VERSIO:TOT")</f>
        <v>0</v>
      </c>
      <c r="L54" s="34">
        <f>_xll.EVGET($I$59,L$78,$I$62,$I$63,$I$64,$I$66,L$79,$I$69,"YHT","TILI:3","VERSIO:TOT")</f>
        <v>0</v>
      </c>
      <c r="M54" s="34">
        <f>K54+L54</f>
        <v>0</v>
      </c>
      <c r="N54" s="34">
        <f>_xll.EVGET($I$59,N$78,$I$62,$I$63,$I$64,$I$66,N$79,$I$69,"YHT","TILI:3",D8)</f>
        <v>0</v>
      </c>
      <c r="O54" s="34">
        <f>_xll.EVGET($I$59,O$78,$I$62,$I$63,$I$64,$I$66,O$79,$I$69,"YHT","TILI:3")</f>
        <v>0</v>
      </c>
      <c r="P54" s="34">
        <f>_xll.EVGET($I$59,P$78,$I$62,$I$63,$I$64,$I$66,P$79,$I$69,"YHT","TILI:3")</f>
        <v>0</v>
      </c>
      <c r="Q54" s="34">
        <f>O54+P54</f>
        <v>0</v>
      </c>
      <c r="R54" s="34">
        <f>I!R54</f>
        <v>0</v>
      </c>
      <c r="S54" s="34">
        <f>I!S54</f>
        <v>0</v>
      </c>
      <c r="T54" s="34">
        <f>I!T54</f>
        <v>0</v>
      </c>
      <c r="U54" s="35"/>
    </row>
    <row r="55" spans="1:21" ht="15.75" hidden="1" outlineLevel="2" thickBot="1" x14ac:dyDescent="0.3">
      <c r="H55" s="16"/>
      <c r="I55" s="66" t="s">
        <v>63</v>
      </c>
      <c r="J55" s="44">
        <f>_xll.EVGET($I$59,J$78,$I$62,$I$63,$I$64,$I$66,J$79,$I$69,"YHT","TILI:4","VERSIO:TOT")</f>
        <v>-8389689.3300000001</v>
      </c>
      <c r="K55" s="44">
        <f>_xll.EVGET($I$59,K$78,$I$62,$I$63,$I$64,$I$66,K$79,$I$69,"YHT","TILI:4","VERSIO:TOT")</f>
        <v>-9645306.4999979995</v>
      </c>
      <c r="L55" s="44">
        <f>_xll.EVGET($I$59,L$78,$I$62,$I$63,$I$64,$I$66,L$79,$I$69,"YHT","TILI:4","VERSIO:TOT")</f>
        <v>0</v>
      </c>
      <c r="M55" s="44">
        <f>K55+L55</f>
        <v>-9645306.4999979995</v>
      </c>
      <c r="N55" s="44">
        <f>_xll.EVGET($I$59,N$78,$I$62,$I$63,$I$64,$I$66,N$79,$I$69,"YHT","TILI:4",D8)</f>
        <v>0</v>
      </c>
      <c r="O55" s="44">
        <f>_xll.EVGET($I$59,O$78,$I$62,$I$63,$I$64,$I$66,O$79,$I$69,"YHT","TILI:4")</f>
        <v>-10334443.5022812</v>
      </c>
      <c r="P55" s="44">
        <f>_xll.EVGET($I$59,P$78,$I$62,$I$63,$I$64,$I$66,P$79,$I$69,"YHT","TILI:4")</f>
        <v>0</v>
      </c>
      <c r="Q55" s="44">
        <f>O55+P55</f>
        <v>-10334443.5022812</v>
      </c>
      <c r="R55" s="44">
        <f>I!R55</f>
        <v>0</v>
      </c>
      <c r="S55" s="44">
        <f>I!S55</f>
        <v>0</v>
      </c>
      <c r="T55" s="44">
        <f>I!T55</f>
        <v>0</v>
      </c>
      <c r="U55" s="35"/>
    </row>
    <row r="56" spans="1:21" ht="15.75" hidden="1" outlineLevel="2" thickTop="1" x14ac:dyDescent="0.25">
      <c r="I56" s="1" t="s">
        <v>74</v>
      </c>
    </row>
    <row r="57" spans="1:21" hidden="1" outlineLevel="2" x14ac:dyDescent="0.25">
      <c r="I57" s="1" t="s">
        <v>74</v>
      </c>
    </row>
    <row r="58" spans="1:21" hidden="1" outlineLevel="2" x14ac:dyDescent="0.25"/>
    <row r="59" spans="1:21" hidden="1" outlineLevel="2" x14ac:dyDescent="0.25">
      <c r="H59" s="10" t="s">
        <v>44</v>
      </c>
      <c r="I59" s="11" t="s">
        <v>45</v>
      </c>
      <c r="J59" s="10" t="str">
        <f>_xll.EVAPD($I$59)</f>
        <v>Talousarvion valmistelu</v>
      </c>
    </row>
    <row r="60" spans="1:21" hidden="1" outlineLevel="2" x14ac:dyDescent="0.25">
      <c r="A60" s="2" t="s">
        <v>0</v>
      </c>
      <c r="B60" s="5" t="s">
        <v>1</v>
      </c>
      <c r="H60" s="10" t="s">
        <v>21</v>
      </c>
      <c r="I60" s="12" t="str">
        <f>_xll.EVCVW($I$59,H60)</f>
        <v>2012.Yhteensa</v>
      </c>
      <c r="J60" s="1" t="str">
        <f>_xll.EVDES(I60,$I$59)</f>
        <v>2012.Yhteensä</v>
      </c>
    </row>
    <row r="61" spans="1:21" hidden="1" outlineLevel="2" x14ac:dyDescent="0.25">
      <c r="A61" s="6" t="s">
        <v>2</v>
      </c>
      <c r="B61" s="7" t="str">
        <f>_xll.EVRNG(I60:I69)</f>
        <v>Käyttötalousosa!$I$60:$I$69</v>
      </c>
      <c r="H61" s="10" t="s">
        <v>46</v>
      </c>
      <c r="I61" s="12" t="str">
        <f>_xll.EVCVW($I$59,H61)</f>
        <v>1001</v>
      </c>
      <c r="J61" s="1" t="str">
        <f>_xll.EVDES(I61,$I$59)</f>
        <v>Turun kaupunki</v>
      </c>
    </row>
    <row r="62" spans="1:21" hidden="1" outlineLevel="2" x14ac:dyDescent="0.25">
      <c r="A62" s="6" t="s">
        <v>3</v>
      </c>
      <c r="B62" s="7" t="str">
        <f>_xll.EVRNG(J78:T79)</f>
        <v>Käyttötalousosa!$J$78:$T$79</v>
      </c>
      <c r="H62" s="10" t="s">
        <v>47</v>
      </c>
      <c r="I62" s="12" t="str">
        <f>_xll.EVCVW($I$59,H62)</f>
        <v>KUSTANNUSPAIKKA:LIIKLK</v>
      </c>
      <c r="J62" s="1" t="str">
        <f>_xll.EVDES(I62,$I$59)</f>
        <v>Liikuntalautakunta</v>
      </c>
    </row>
    <row r="63" spans="1:21" hidden="1" outlineLevel="2" x14ac:dyDescent="0.25">
      <c r="A63" s="6" t="s">
        <v>4</v>
      </c>
      <c r="B63" s="7" t="str">
        <f>_xll.EVRNG(G82:H135)</f>
        <v>Käyttötalousosa!$G$82:$H$135</v>
      </c>
      <c r="H63" s="10" t="s">
        <v>48</v>
      </c>
      <c r="I63" s="12" t="str">
        <f>_xll.EVCVW($I$59,H63)</f>
        <v>PERIODIC</v>
      </c>
      <c r="J63" s="1" t="str">
        <f>_xll.EVDES(I63,$I$59)</f>
        <v>Periodic</v>
      </c>
    </row>
    <row r="64" spans="1:21" hidden="1" outlineLevel="2" x14ac:dyDescent="0.25">
      <c r="A64" s="6" t="s">
        <v>5</v>
      </c>
      <c r="B64" s="7"/>
      <c r="H64" s="10" t="s">
        <v>49</v>
      </c>
      <c r="I64" s="12" t="str">
        <f>_xll.EVCVW($I$59,H64)</f>
        <v>TILAUS:YHTEENSA</v>
      </c>
      <c r="J64" s="1" t="str">
        <f>_xll.EVDES(I64,$I$59)</f>
        <v>Tilastolliset tilaukset YHTEENSÄ</v>
      </c>
    </row>
    <row r="65" spans="1:24" hidden="1" outlineLevel="2" x14ac:dyDescent="0.25">
      <c r="A65" s="6" t="s">
        <v>6</v>
      </c>
      <c r="B65" s="7"/>
      <c r="H65" s="10" t="s">
        <v>24</v>
      </c>
      <c r="I65" s="12" t="str">
        <f>_xll.EVCVW($I$59,H65)</f>
        <v>482000</v>
      </c>
      <c r="J65" s="1" t="str">
        <f>_xll.EVDES(I65,$I$59)</f>
        <v>Rakennusten ja huoneistojen vuokrat</v>
      </c>
    </row>
    <row r="66" spans="1:24" hidden="1" outlineLevel="2" x14ac:dyDescent="0.25">
      <c r="A66" s="6" t="s">
        <v>7</v>
      </c>
      <c r="B66" s="7"/>
      <c r="H66" s="10" t="s">
        <v>50</v>
      </c>
      <c r="I66" s="12" t="str">
        <f>_xll.EVCVW($I$59,H66)</f>
        <v>A000</v>
      </c>
      <c r="J66" s="1" t="str">
        <f>_xll.EVDES(I66,$I$59)</f>
        <v>Ei Määritelty</v>
      </c>
    </row>
    <row r="67" spans="1:24" hidden="1" outlineLevel="2" x14ac:dyDescent="0.25">
      <c r="A67" s="6" t="s">
        <v>43</v>
      </c>
      <c r="B67" s="7" t="str">
        <f>_xll.EVRNG($A$90:$B$105)</f>
        <v>Käyttötalousosa!$A$90:$B$105</v>
      </c>
      <c r="H67" s="10" t="s">
        <v>22</v>
      </c>
      <c r="I67" s="12" t="str">
        <f>_xll.EVCVW($I$59,H67)</f>
        <v>TO_EHD</v>
      </c>
      <c r="J67" s="1" t="str">
        <f>_xll.EVDES(I67,$I$59)</f>
        <v>Toimielimen ehdotus</v>
      </c>
    </row>
    <row r="68" spans="1:24" hidden="1" outlineLevel="2" x14ac:dyDescent="0.25">
      <c r="A68" s="6" t="s">
        <v>8</v>
      </c>
      <c r="B68" s="7"/>
      <c r="H68" s="10" t="s">
        <v>51</v>
      </c>
      <c r="I68" s="12" t="str">
        <f>_xll.EVCVW($I$59,H68)</f>
        <v>RAA_V1</v>
      </c>
      <c r="J68" s="1" t="str">
        <f>_xll.EVDES(I68,$I$59)</f>
        <v>Raamia vastaava budjetti V1</v>
      </c>
    </row>
    <row r="69" spans="1:24" hidden="1" outlineLevel="2" x14ac:dyDescent="0.25">
      <c r="H69" s="10" t="s">
        <v>52</v>
      </c>
      <c r="I69" s="12" t="str">
        <f>_xll.EVCVW($I$59,H69)</f>
        <v>YRITYS:1002</v>
      </c>
      <c r="J69" s="1" t="str">
        <f>_xll.EVDES(I69,$I$59)</f>
        <v>Turun peruskaupunki</v>
      </c>
    </row>
    <row r="70" spans="1:24" hidden="1" outlineLevel="2" x14ac:dyDescent="0.25">
      <c r="H70" s="10"/>
    </row>
    <row r="71" spans="1:24" collapsed="1" x14ac:dyDescent="0.25">
      <c r="F71" s="19" t="str">
        <f>IF(_xll.EVDES(F78,$I$59)="#NODATA","",_xll.EVDES(F78,$I$59))</f>
        <v/>
      </c>
      <c r="H71" s="10"/>
      <c r="I71" s="19" t="str">
        <f>IF(_xll.EVDES(I78,$I$59)="#NODATA","",_xll.EVDES(I78,$I$59))</f>
        <v/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1:24" x14ac:dyDescent="0.25">
      <c r="H72" s="10"/>
    </row>
    <row r="73" spans="1:24" x14ac:dyDescent="0.25">
      <c r="H73" s="10"/>
    </row>
    <row r="74" spans="1:24" x14ac:dyDescent="0.25">
      <c r="H74" s="10"/>
    </row>
    <row r="75" spans="1:24" x14ac:dyDescent="0.25">
      <c r="H75" s="10"/>
    </row>
    <row r="76" spans="1:24" ht="48.75" customHeight="1" x14ac:dyDescent="0.25">
      <c r="H76" s="10"/>
      <c r="I76" s="22" t="s">
        <v>54</v>
      </c>
      <c r="J76" s="25" t="str">
        <f>"TP "&amp;(LEFT($I$60,4)-1)</f>
        <v>TP 2011</v>
      </c>
      <c r="K76" s="25" t="str">
        <f>"TA "&amp;(LEFT($J$60,4))</f>
        <v>TA 2012</v>
      </c>
      <c r="L76" s="25" t="str">
        <f>"TA  muutokset "&amp;(LEFT($J$60,4))</f>
        <v>TA  muutokset 2012</v>
      </c>
      <c r="M76" s="25" t="str">
        <f>"TA yhteensä "&amp;(LEFT($J$60,4))</f>
        <v>TA yhteensä 2012</v>
      </c>
      <c r="N76" s="25" t="str">
        <f>"Toimielimen ehdotus "&amp;(LEFT($I$60,4)+1)</f>
        <v>Toimielimen ehdotus 2013</v>
      </c>
      <c r="O76" s="25" t="str">
        <f>"TA  "&amp;(LEFT($I$60,4)+1)</f>
        <v>TA  2013</v>
      </c>
      <c r="P76" s="25" t="str">
        <f>"TA  muutokset "&amp;(LEFT($I$60,4)+1)</f>
        <v>TA  muutokset 2013</v>
      </c>
      <c r="Q76" s="25" t="str">
        <f>"TA yhteensä "&amp;(LEFT($I$60,4)+1)</f>
        <v>TA yhteensä 2013</v>
      </c>
      <c r="R76" s="25" t="str">
        <f>"TS "&amp;(LEFT($I$60,4)+2)</f>
        <v>TS 2014</v>
      </c>
      <c r="S76" s="25" t="str">
        <f>"TS "&amp;(LEFT($I$60,4)+3)</f>
        <v>TS 2015</v>
      </c>
      <c r="T76" s="25" t="str">
        <f>"TS "&amp;(LEFT($I$60,4)+4)</f>
        <v>TS 2016</v>
      </c>
    </row>
    <row r="78" spans="1:24" hidden="1" x14ac:dyDescent="0.25">
      <c r="H78" s="13"/>
      <c r="I78" s="14"/>
      <c r="J78" s="23" t="str">
        <f>LEFT($I$60,4)&amp;".Yhteensa"</f>
        <v>2012.Yhteensa</v>
      </c>
      <c r="K78" s="23" t="str">
        <f t="shared" ref="K78:T78" si="10">LEFT($I$60,4)&amp;".Yhteensa"</f>
        <v>2012.Yhteensa</v>
      </c>
      <c r="L78" s="23" t="str">
        <f t="shared" si="10"/>
        <v>2012.Yhteensa</v>
      </c>
      <c r="M78" s="23" t="str">
        <f t="shared" si="10"/>
        <v>2012.Yhteensa</v>
      </c>
      <c r="N78" s="23" t="str">
        <f t="shared" si="10"/>
        <v>2012.Yhteensa</v>
      </c>
      <c r="O78" s="23" t="str">
        <f t="shared" si="10"/>
        <v>2012.Yhteensa</v>
      </c>
      <c r="P78" s="23" t="str">
        <f t="shared" si="10"/>
        <v>2012.Yhteensa</v>
      </c>
      <c r="Q78" s="23" t="str">
        <f t="shared" si="10"/>
        <v>2012.Yhteensa</v>
      </c>
      <c r="R78" s="23" t="str">
        <f t="shared" si="10"/>
        <v>2012.Yhteensa</v>
      </c>
      <c r="S78" s="23" t="str">
        <f t="shared" si="10"/>
        <v>2012.Yhteensa</v>
      </c>
      <c r="T78" s="23" t="str">
        <f t="shared" si="10"/>
        <v>2012.Yhteensa</v>
      </c>
    </row>
    <row r="79" spans="1:24" hidden="1" x14ac:dyDescent="0.25">
      <c r="A79" s="2" t="s">
        <v>9</v>
      </c>
      <c r="B79" s="4" t="s">
        <v>10</v>
      </c>
      <c r="C79" s="4" t="s">
        <v>11</v>
      </c>
      <c r="D79" s="4" t="s">
        <v>12</v>
      </c>
      <c r="E79" s="5" t="s">
        <v>73</v>
      </c>
      <c r="H79" s="13"/>
      <c r="I79" s="14"/>
      <c r="J79" s="14" t="s">
        <v>84</v>
      </c>
      <c r="K79" s="14" t="s">
        <v>64</v>
      </c>
      <c r="L79" s="14" t="s">
        <v>85</v>
      </c>
      <c r="M79" s="14"/>
      <c r="N79" s="14" t="s">
        <v>65</v>
      </c>
      <c r="O79" s="14" t="s">
        <v>65</v>
      </c>
      <c r="P79" s="14" t="s">
        <v>66</v>
      </c>
      <c r="Q79" s="14"/>
      <c r="R79" s="14" t="s">
        <v>67</v>
      </c>
      <c r="S79" s="14" t="s">
        <v>68</v>
      </c>
      <c r="T79" s="14" t="s">
        <v>69</v>
      </c>
      <c r="W79" s="25"/>
      <c r="X79" s="25"/>
    </row>
    <row r="80" spans="1:24" hidden="1" x14ac:dyDescent="0.25">
      <c r="A80" s="8" t="s">
        <v>13</v>
      </c>
      <c r="B80" s="9" t="s">
        <v>20</v>
      </c>
      <c r="C80" s="9" t="s">
        <v>20</v>
      </c>
      <c r="D80" s="9" t="s">
        <v>23</v>
      </c>
      <c r="E80" s="9" t="s">
        <v>23</v>
      </c>
      <c r="H80" s="1" t="str">
        <f>IF(_xll.EVDES(H78,$I$59)="#NODATA","",_xll.EVDES(H78,$I$59))</f>
        <v/>
      </c>
    </row>
    <row r="81" spans="1:22" x14ac:dyDescent="0.25">
      <c r="A81" s="8" t="s">
        <v>14</v>
      </c>
      <c r="B81" s="9" t="s">
        <v>22</v>
      </c>
      <c r="C81" s="9" t="s">
        <v>21</v>
      </c>
      <c r="D81" s="9" t="s">
        <v>51</v>
      </c>
      <c r="E81" s="9" t="s">
        <v>24</v>
      </c>
      <c r="G81" s="18"/>
      <c r="I81" s="24"/>
      <c r="V81" s="25"/>
    </row>
    <row r="82" spans="1:22" x14ac:dyDescent="0.25">
      <c r="A82" s="8" t="s">
        <v>15</v>
      </c>
      <c r="B82" s="15" t="s">
        <v>70</v>
      </c>
      <c r="C82" s="15" t="s">
        <v>70</v>
      </c>
      <c r="D82" s="15" t="s">
        <v>72</v>
      </c>
      <c r="E82" s="88" t="str">
        <f>_xll.EVRNG(H3:U56)</f>
        <v>Käyttötalousosa!$H$3:$U$56</v>
      </c>
      <c r="F82" s="90"/>
      <c r="G82" s="82" t="s">
        <v>121</v>
      </c>
      <c r="H82" s="35"/>
      <c r="I82" s="43" t="str">
        <f>"Toimielin "&amp;$J$140</f>
        <v>Toimielin Liikuntalautakunta</v>
      </c>
      <c r="J82" s="69" t="s">
        <v>74</v>
      </c>
      <c r="K82" s="80"/>
      <c r="L82" s="69" t="s">
        <v>74</v>
      </c>
      <c r="M82" s="80"/>
      <c r="N82" s="69"/>
      <c r="O82" s="69" t="s">
        <v>74</v>
      </c>
      <c r="P82" s="69" t="s">
        <v>74</v>
      </c>
      <c r="Q82" s="69" t="s">
        <v>74</v>
      </c>
      <c r="R82" s="69" t="s">
        <v>74</v>
      </c>
      <c r="S82" s="69" t="s">
        <v>74</v>
      </c>
      <c r="T82" s="69" t="s">
        <v>74</v>
      </c>
      <c r="U82" s="35"/>
    </row>
    <row r="83" spans="1:22" x14ac:dyDescent="0.25">
      <c r="A83" s="8" t="s">
        <v>16</v>
      </c>
      <c r="B83" s="9"/>
      <c r="C83" s="9"/>
      <c r="D83" s="9"/>
      <c r="E83" s="89"/>
      <c r="F83" s="90"/>
      <c r="G83" s="82" t="s">
        <v>121</v>
      </c>
      <c r="H83" s="37"/>
      <c r="I83" s="43" t="s">
        <v>53</v>
      </c>
      <c r="J83" s="30"/>
      <c r="K83" s="30"/>
      <c r="L83" s="30"/>
      <c r="M83" s="30"/>
      <c r="N83" s="31"/>
      <c r="O83" s="30"/>
      <c r="P83" s="30"/>
      <c r="Q83" s="30"/>
      <c r="R83" s="30"/>
      <c r="S83" s="30"/>
      <c r="T83" s="30"/>
      <c r="U83" s="35"/>
    </row>
    <row r="84" spans="1:22" x14ac:dyDescent="0.25">
      <c r="A84" s="8" t="s">
        <v>17</v>
      </c>
      <c r="B84" s="9"/>
      <c r="C84" s="9"/>
      <c r="D84" s="9"/>
      <c r="E84" s="89"/>
      <c r="F84" s="90"/>
      <c r="G84" s="82" t="s">
        <v>121</v>
      </c>
      <c r="H84" s="37"/>
      <c r="I84" s="43" t="s">
        <v>54</v>
      </c>
      <c r="J84" s="30"/>
      <c r="K84" s="30"/>
      <c r="L84" s="30"/>
      <c r="M84" s="30"/>
      <c r="N84" s="31"/>
      <c r="O84" s="30"/>
      <c r="P84" s="30"/>
      <c r="Q84" s="32"/>
      <c r="R84" s="30"/>
      <c r="S84" s="30"/>
      <c r="T84" s="30"/>
      <c r="U84" s="35"/>
    </row>
    <row r="85" spans="1:22" x14ac:dyDescent="0.25">
      <c r="A85" s="8" t="s">
        <v>18</v>
      </c>
      <c r="B85" s="9"/>
      <c r="C85" s="9"/>
      <c r="D85" s="9"/>
      <c r="E85" s="89"/>
      <c r="F85" s="90"/>
      <c r="G85" s="82" t="s">
        <v>121</v>
      </c>
      <c r="H85" s="40" t="s">
        <v>81</v>
      </c>
      <c r="I85" s="47" t="str">
        <f>_xll.EVDES(H85,$I$59)</f>
        <v>TOIMINTATUOTOT</v>
      </c>
      <c r="J85" s="48">
        <f>_xll.EVGET($I$59,$J$78,$J$79,$H85,"TOT")</f>
        <v>2013644.14</v>
      </c>
      <c r="K85" s="48">
        <f>_xll.EVGET($I$59,$K$78,$K$79,$H85,"TOT")</f>
        <v>3717708</v>
      </c>
      <c r="L85" s="48">
        <f>_xll.EVGET($I$59,$L$78,$L$79,$H85,"TOT")</f>
        <v>0</v>
      </c>
      <c r="M85" s="48">
        <f>K85+L85</f>
        <v>3717708</v>
      </c>
      <c r="N85" s="48">
        <f>N101</f>
        <v>0</v>
      </c>
      <c r="O85" s="48">
        <f>O101+O103</f>
        <v>3412128.9999972</v>
      </c>
      <c r="P85" s="48"/>
      <c r="Q85" s="70">
        <f>P85+O85</f>
        <v>3412128.9999972</v>
      </c>
      <c r="R85" s="48">
        <f>I!R85</f>
        <v>3800000</v>
      </c>
      <c r="S85" s="48">
        <f>I!S85</f>
        <v>3800000</v>
      </c>
      <c r="T85" s="49">
        <f>I!T85</f>
        <v>4200000</v>
      </c>
      <c r="U85" s="35"/>
    </row>
    <row r="86" spans="1:22" x14ac:dyDescent="0.25">
      <c r="A86" s="8" t="s">
        <v>19</v>
      </c>
      <c r="B86" s="9"/>
      <c r="C86" s="9"/>
      <c r="D86" s="9"/>
      <c r="E86" s="89"/>
      <c r="F86" s="90"/>
      <c r="G86" s="82" t="s">
        <v>121</v>
      </c>
      <c r="H86" s="40" t="s">
        <v>82</v>
      </c>
      <c r="I86" s="28" t="str">
        <f>_xll.EVDES(H86,$I$59)</f>
        <v>TOIMINTAKULUT</v>
      </c>
      <c r="J86" s="32">
        <f>J121</f>
        <v>17491783.73</v>
      </c>
      <c r="K86" s="32">
        <f t="shared" ref="K86:L86" si="11">K121</f>
        <v>19947127.558989603</v>
      </c>
      <c r="L86" s="32">
        <f t="shared" si="11"/>
        <v>0</v>
      </c>
      <c r="M86" s="32">
        <f>M121</f>
        <v>19947127.558989603</v>
      </c>
      <c r="N86" s="32">
        <f t="shared" ref="N86" si="12">N121</f>
        <v>0</v>
      </c>
      <c r="O86" s="32">
        <f>O121</f>
        <v>22075461.978094798</v>
      </c>
      <c r="P86" s="32">
        <f t="shared" ref="P86:Q86" si="13">P121</f>
        <v>0</v>
      </c>
      <c r="Q86" s="32">
        <f t="shared" si="13"/>
        <v>22075461.978094798</v>
      </c>
      <c r="R86" s="30">
        <f>I!R86</f>
        <v>23200000</v>
      </c>
      <c r="S86" s="30">
        <f>I!S86</f>
        <v>23500000</v>
      </c>
      <c r="T86" s="74">
        <f>I!T86</f>
        <v>24100000</v>
      </c>
      <c r="U86" s="35"/>
    </row>
    <row r="87" spans="1:22" x14ac:dyDescent="0.25">
      <c r="F87" s="90"/>
      <c r="G87" s="82" t="s">
        <v>121</v>
      </c>
      <c r="H87" s="37"/>
      <c r="I87" s="28" t="s">
        <v>55</v>
      </c>
      <c r="J87" s="32">
        <f>J85-J86</f>
        <v>-15478139.59</v>
      </c>
      <c r="K87" s="32">
        <f>K85-K86</f>
        <v>-16229419.558989603</v>
      </c>
      <c r="L87" s="32">
        <f>L85-L86</f>
        <v>0</v>
      </c>
      <c r="M87" s="32">
        <f>M85-M86</f>
        <v>-16229419.558989603</v>
      </c>
      <c r="N87" s="32">
        <f>N85+N103-N86</f>
        <v>0</v>
      </c>
      <c r="O87" s="32">
        <f>O85-O86</f>
        <v>-18663332.978097599</v>
      </c>
      <c r="P87" s="32">
        <f>P85+P103-P86</f>
        <v>0</v>
      </c>
      <c r="Q87" s="32">
        <f>Q85+Q103-Q86</f>
        <v>-18663332.978097599</v>
      </c>
      <c r="R87" s="32">
        <f>R85-R86</f>
        <v>-19400000</v>
      </c>
      <c r="S87" s="32">
        <f>S85-S86</f>
        <v>-19700000</v>
      </c>
      <c r="T87" s="33">
        <f>T85-T86</f>
        <v>-19900000</v>
      </c>
      <c r="U87" s="35"/>
    </row>
    <row r="88" spans="1:22" x14ac:dyDescent="0.25">
      <c r="F88" s="90"/>
      <c r="G88" s="82" t="s">
        <v>121</v>
      </c>
      <c r="H88" s="37"/>
      <c r="I88" s="71" t="s">
        <v>56</v>
      </c>
      <c r="J88" s="72"/>
      <c r="K88" s="72"/>
      <c r="L88" s="72"/>
      <c r="M88" s="51"/>
      <c r="N88" s="75">
        <f>IF(ISERR(N87/M87),0,N87/M87)</f>
        <v>0</v>
      </c>
      <c r="O88" s="75">
        <f>IF(ISERR(O87/K87),0,(O87/K87)-1)</f>
        <v>0.14996922165092674</v>
      </c>
      <c r="P88" s="75"/>
      <c r="Q88" s="76">
        <f>P88+O88</f>
        <v>0.14996922165092674</v>
      </c>
      <c r="R88" s="75">
        <f>IF(ISERR(R87/O87),0,(R87/O87)-1)</f>
        <v>3.9471353951993304E-2</v>
      </c>
      <c r="S88" s="75">
        <f>IF(ISERR(S87/R87),0,(S87/R87)-1)</f>
        <v>1.5463917525773141E-2</v>
      </c>
      <c r="T88" s="77">
        <f>IF(ISERR(T87/S87),0,(T87/S87)-1)</f>
        <v>1.0152284263959421E-2</v>
      </c>
      <c r="U88" s="35"/>
    </row>
    <row r="89" spans="1:22" x14ac:dyDescent="0.25">
      <c r="A89" s="2" t="s">
        <v>25</v>
      </c>
      <c r="B89" s="5" t="s">
        <v>26</v>
      </c>
      <c r="C89" s="5" t="s">
        <v>88</v>
      </c>
      <c r="F89" s="90"/>
      <c r="G89" s="82" t="s">
        <v>121</v>
      </c>
      <c r="H89" s="37"/>
      <c r="I89" s="39" t="s">
        <v>74</v>
      </c>
      <c r="J89" s="32"/>
      <c r="K89" s="32"/>
      <c r="L89" s="32"/>
      <c r="M89" s="30"/>
      <c r="N89" s="29"/>
      <c r="O89" s="32"/>
      <c r="P89" s="32"/>
      <c r="Q89" s="32"/>
      <c r="R89" s="32"/>
      <c r="S89" s="32"/>
      <c r="T89" s="32"/>
      <c r="U89" s="35"/>
    </row>
    <row r="90" spans="1:22" x14ac:dyDescent="0.25">
      <c r="A90" s="6" t="s">
        <v>27</v>
      </c>
      <c r="B90" s="7"/>
      <c r="C90" s="1" t="str">
        <f>I62&amp;"_TOIM"</f>
        <v>KUSTANNUSPAIKKA:LIIKLK_TOIM</v>
      </c>
      <c r="F90" s="90"/>
      <c r="G90" s="82" t="s">
        <v>121</v>
      </c>
      <c r="H90" s="37"/>
      <c r="I90" s="43" t="s">
        <v>57</v>
      </c>
      <c r="J90" s="32"/>
      <c r="K90" s="32"/>
      <c r="L90" s="32"/>
      <c r="M90" s="30"/>
      <c r="N90" s="29"/>
      <c r="O90" s="32"/>
      <c r="P90" s="32"/>
      <c r="Q90" s="32"/>
      <c r="R90" s="30"/>
      <c r="S90" s="30"/>
      <c r="T90" s="30"/>
      <c r="U90" s="35"/>
    </row>
    <row r="91" spans="1:22" x14ac:dyDescent="0.25">
      <c r="A91" s="6" t="s">
        <v>28</v>
      </c>
      <c r="B91" s="7"/>
      <c r="C91" s="1" t="str">
        <f>LEFT(I60,4)&amp;".vuosi_syöttö"</f>
        <v>2012.vuosi_syöttö</v>
      </c>
      <c r="F91" s="90"/>
      <c r="G91" s="82" t="s">
        <v>121</v>
      </c>
      <c r="H91" s="37" t="s">
        <v>58</v>
      </c>
      <c r="I91" s="39" t="str">
        <f>_xll.EVDES(H91,$I$59)</f>
        <v>Valtionosuudet ja muut rahoitusosuudet</v>
      </c>
      <c r="J91" s="30">
        <f>IF(ISERROR(P!$J$39),"",P!$J$39)</f>
        <v>0</v>
      </c>
      <c r="K91" s="30">
        <f>IF(ISERROR(I!$Q$39),"",P!$K$39)</f>
        <v>0</v>
      </c>
      <c r="L91" s="30">
        <f>IF(ISERROR(I!$R$39),"",P!$L$39)</f>
        <v>0</v>
      </c>
      <c r="M91" s="30">
        <f>IF(ISERROR(I!$M$40),"",K91+L91)</f>
        <v>0</v>
      </c>
      <c r="N91" s="30">
        <f>IF(ISERROR(I!N$94),"",I!N91)</f>
        <v>0</v>
      </c>
      <c r="O91" s="30">
        <f>IF(ISERROR(I!$U$39),"",P!$O$39)</f>
        <v>0</v>
      </c>
      <c r="P91" s="30">
        <f>IF(ISERROR(I!V118),"",P!P118)</f>
        <v>0</v>
      </c>
      <c r="Q91" s="30">
        <f>IF(ISERROR(I!W118),"",P!Q118)</f>
        <v>0</v>
      </c>
      <c r="R91" s="30">
        <f>IF(ISERROR(I!$X$39),"",P!$R$39)</f>
        <v>0</v>
      </c>
      <c r="S91" s="30">
        <f>IF(ISERROR(I!$Y$39),"",P!$S$39)</f>
        <v>0</v>
      </c>
      <c r="T91" s="30">
        <f>IF(ISERROR(I!$Z$39),"",P!$T$39)</f>
        <v>0</v>
      </c>
      <c r="U91" s="35"/>
    </row>
    <row r="92" spans="1:22" x14ac:dyDescent="0.25">
      <c r="A92" s="6" t="s">
        <v>29</v>
      </c>
      <c r="B92" s="7"/>
      <c r="F92" s="90"/>
      <c r="G92" s="82" t="s">
        <v>121</v>
      </c>
      <c r="H92" s="37" t="s">
        <v>59</v>
      </c>
      <c r="I92" s="39" t="str">
        <f>_xll.EVDES(H92,$I$59)</f>
        <v>Investointikulut</v>
      </c>
      <c r="J92" s="30">
        <f>IF(ISERROR(I!$P$40),"",P!$J$40)</f>
        <v>0</v>
      </c>
      <c r="K92" s="30">
        <f>IF(ISERROR(I!$Q$40),"",P!$K$40)</f>
        <v>0</v>
      </c>
      <c r="L92" s="30">
        <f>IF(ISERROR(I!$R$40),"",P!$L$40)</f>
        <v>0</v>
      </c>
      <c r="M92" s="30">
        <f>IF(ISERROR(I!$M$40),"",K92+L92)</f>
        <v>0</v>
      </c>
      <c r="N92" s="30">
        <f>IF(ISERROR(I!N$94),"",I!N92)</f>
        <v>0</v>
      </c>
      <c r="O92" s="30">
        <f>IF(ISERROR(I!$U$40),"",P!$O$40)</f>
        <v>0</v>
      </c>
      <c r="P92" s="30">
        <f>IF(ISERROR(I!V119),"",P!P119)</f>
        <v>0</v>
      </c>
      <c r="Q92" s="30">
        <f>IF(ISERROR(I!W119),"",P!Q119)</f>
        <v>0</v>
      </c>
      <c r="R92" s="30">
        <f>IF(ISERROR(I!$X$40),"",P!$R$40)</f>
        <v>0</v>
      </c>
      <c r="S92" s="30">
        <f>IF(ISERROR(I!$Y$40),"",P!$S$40)</f>
        <v>0</v>
      </c>
      <c r="T92" s="30">
        <f>IF(ISERROR(I!$Z$40),"",P!$T$40)</f>
        <v>0</v>
      </c>
      <c r="U92" s="35"/>
    </row>
    <row r="93" spans="1:22" x14ac:dyDescent="0.25">
      <c r="A93" s="6" t="s">
        <v>30</v>
      </c>
      <c r="B93" s="7"/>
      <c r="F93" s="90"/>
      <c r="G93" s="82" t="s">
        <v>121</v>
      </c>
      <c r="H93" s="37" t="s">
        <v>86</v>
      </c>
      <c r="I93" s="39" t="str">
        <f>_xll.EVDES(H93,$I$59)</f>
        <v>Nettoinvestoinnit</v>
      </c>
      <c r="J93" s="29">
        <f>IF(J91="","",J91-J92)</f>
        <v>0</v>
      </c>
      <c r="K93" s="29">
        <f t="shared" ref="K93:T93" si="14">IF(K91="","",K91-K92)</f>
        <v>0</v>
      </c>
      <c r="L93" s="29">
        <f t="shared" si="14"/>
        <v>0</v>
      </c>
      <c r="M93" s="29">
        <f t="shared" si="14"/>
        <v>0</v>
      </c>
      <c r="N93" s="29">
        <f t="shared" si="14"/>
        <v>0</v>
      </c>
      <c r="O93" s="29">
        <f t="shared" si="14"/>
        <v>0</v>
      </c>
      <c r="P93" s="29">
        <f t="shared" si="14"/>
        <v>0</v>
      </c>
      <c r="Q93" s="29">
        <f t="shared" si="14"/>
        <v>0</v>
      </c>
      <c r="R93" s="29">
        <f t="shared" si="14"/>
        <v>0</v>
      </c>
      <c r="S93" s="29">
        <f t="shared" si="14"/>
        <v>0</v>
      </c>
      <c r="T93" s="29">
        <f t="shared" si="14"/>
        <v>0</v>
      </c>
      <c r="U93" s="35"/>
    </row>
    <row r="94" spans="1:22" x14ac:dyDescent="0.25">
      <c r="A94" s="6" t="s">
        <v>31</v>
      </c>
      <c r="B94" s="7" t="s">
        <v>116</v>
      </c>
      <c r="F94" s="90"/>
      <c r="G94" s="82" t="s">
        <v>121</v>
      </c>
      <c r="H94" s="37"/>
      <c r="I94" s="39" t="s">
        <v>74</v>
      </c>
      <c r="J94" s="32"/>
      <c r="K94" s="32"/>
      <c r="L94" s="32"/>
      <c r="M94" s="30"/>
      <c r="N94" s="29"/>
      <c r="O94" s="32"/>
      <c r="P94" s="32"/>
      <c r="Q94" s="32"/>
      <c r="R94" s="32"/>
      <c r="S94" s="32"/>
      <c r="T94" s="32"/>
      <c r="U94" s="35"/>
    </row>
    <row r="95" spans="1:22" x14ac:dyDescent="0.25">
      <c r="A95" s="6" t="s">
        <v>32</v>
      </c>
      <c r="B95" s="7" t="s">
        <v>116</v>
      </c>
      <c r="F95" s="90"/>
      <c r="G95" s="82" t="s">
        <v>121</v>
      </c>
      <c r="H95" s="37">
        <v>30</v>
      </c>
      <c r="I95" s="39" t="str">
        <f>_xll.EVDES(H95,$I$59)</f>
        <v>Myyntituotot</v>
      </c>
      <c r="J95" s="32">
        <f>_xll.EVGET($I$59,$J$78,$J$79,$H95,"TOT")</f>
        <v>27706.83</v>
      </c>
      <c r="K95" s="32">
        <f>_xll.EVGET($I$59,$K$78,$K$79,$H95,"TOT")</f>
        <v>53298</v>
      </c>
      <c r="L95" s="32">
        <f>_xll.EVGET($I$59,$L$78,$L$79,$H95,"TOT")</f>
        <v>0</v>
      </c>
      <c r="M95" s="30">
        <f>K95+L95</f>
        <v>53298</v>
      </c>
      <c r="N95" s="32">
        <f>_xll.EVGET(Käyttötalousosa!$I$59,Käyttötalousosa!$N$78,Käyttötalousosa!$N$79,Käyttötalousosa!$H95,Käyttötalousosa!$D$8)</f>
        <v>0</v>
      </c>
      <c r="O95" s="32">
        <v>50490.999999599997</v>
      </c>
      <c r="P95" s="32"/>
      <c r="Q95" s="32">
        <f>P95+O95</f>
        <v>50490.999999599997</v>
      </c>
      <c r="R95" s="30">
        <f>I!R95</f>
        <v>50000</v>
      </c>
      <c r="S95" s="30">
        <f>I!S95</f>
        <v>50000</v>
      </c>
      <c r="T95" s="30">
        <f>I!T95</f>
        <v>65000</v>
      </c>
      <c r="U95" s="35"/>
    </row>
    <row r="96" spans="1:22" x14ac:dyDescent="0.25">
      <c r="A96" s="6" t="s">
        <v>33</v>
      </c>
      <c r="B96" s="7"/>
      <c r="F96" s="90"/>
      <c r="G96" s="82" t="s">
        <v>121</v>
      </c>
      <c r="H96" s="37">
        <v>32</v>
      </c>
      <c r="I96" s="39" t="str">
        <f>_xll.EVDES(H96,$I$59)</f>
        <v>Maksutuotot</v>
      </c>
      <c r="J96" s="32">
        <f>_xll.EVGET($I$59,$J$78,$J$79,$H96,"TOT")</f>
        <v>1105863.5900000001</v>
      </c>
      <c r="K96" s="32">
        <f>_xll.EVGET($I$59,$K$78,$K$79,$H96,"TOT")</f>
        <v>2980200.0000024</v>
      </c>
      <c r="L96" s="32">
        <f>_xll.EVGET($I$59,$L$78,$L$79,$H96,"TOT")</f>
        <v>0</v>
      </c>
      <c r="M96" s="30">
        <f>K96+L96</f>
        <v>2980200.0000024</v>
      </c>
      <c r="N96" s="32">
        <f>_xll.EVGET(Käyttötalousosa!$I$59,Käyttötalousosa!$N$78,Käyttötalousosa!$N$79,Käyttötalousosa!$H96,Käyttötalousosa!$D$8)</f>
        <v>0</v>
      </c>
      <c r="O96" s="32">
        <v>2488892.0000004</v>
      </c>
      <c r="P96" s="32"/>
      <c r="Q96" s="32">
        <f t="shared" ref="Q96:Q99" si="15">P96+O96</f>
        <v>2488892.0000004</v>
      </c>
      <c r="R96" s="30">
        <f>I!R96</f>
        <v>2877000</v>
      </c>
      <c r="S96" s="30">
        <f>I!S96</f>
        <v>2877000</v>
      </c>
      <c r="T96" s="30">
        <f>I!T96</f>
        <v>3235000</v>
      </c>
      <c r="U96" s="35"/>
    </row>
    <row r="97" spans="1:21" x14ac:dyDescent="0.25">
      <c r="A97" s="6" t="s">
        <v>34</v>
      </c>
      <c r="B97" s="7"/>
      <c r="F97" s="90"/>
      <c r="G97" s="82" t="s">
        <v>121</v>
      </c>
      <c r="H97" s="37">
        <v>33</v>
      </c>
      <c r="I97" s="39" t="str">
        <f>_xll.EVDES(H97,$I$59)</f>
        <v>Tuet ja avustukset</v>
      </c>
      <c r="J97" s="32">
        <f>_xll.EVGET($I$59,$J$78,$J$79,$H97,"TOT")</f>
        <v>40454.85</v>
      </c>
      <c r="K97" s="32">
        <f>_xll.EVGET($I$59,$K$78,$K$79,$H97,"TOT")</f>
        <v>17499.999999600001</v>
      </c>
      <c r="L97" s="32">
        <f>_xll.EVGET($I$59,$L$78,$L$79,$H97,"TOT")</f>
        <v>0</v>
      </c>
      <c r="M97" s="30">
        <f>K97+L97</f>
        <v>17499.999999600001</v>
      </c>
      <c r="N97" s="32">
        <f>_xll.EVGET(Käyttötalousosa!$I$59,Käyttötalousosa!$N$78,Käyttötalousosa!$N$79,Käyttötalousosa!$H97,Käyttötalousosa!$D$8)</f>
        <v>0</v>
      </c>
      <c r="O97" s="32"/>
      <c r="P97" s="32"/>
      <c r="Q97" s="32">
        <f t="shared" si="15"/>
        <v>0</v>
      </c>
      <c r="R97" s="30">
        <f>I!R97</f>
        <v>0</v>
      </c>
      <c r="S97" s="30">
        <f>I!S97</f>
        <v>0</v>
      </c>
      <c r="T97" s="30">
        <f>I!T97</f>
        <v>0</v>
      </c>
      <c r="U97" s="35"/>
    </row>
    <row r="98" spans="1:21" x14ac:dyDescent="0.25">
      <c r="A98" s="6" t="s">
        <v>35</v>
      </c>
      <c r="B98" s="7"/>
      <c r="F98" s="90"/>
      <c r="G98" s="82" t="s">
        <v>121</v>
      </c>
      <c r="H98" s="37">
        <v>34</v>
      </c>
      <c r="I98" s="39" t="str">
        <f>_xll.EVDES(H98,$I$59)</f>
        <v>Vuokratuotot</v>
      </c>
      <c r="J98" s="32">
        <f>_xll.EVGET($I$59,$J$78,$J$79,$H98,"TOT")</f>
        <v>746718.68</v>
      </c>
      <c r="K98" s="32">
        <f>_xll.EVGET($I$59,$K$78,$K$79,$H98,"TOT")</f>
        <v>596709.99999839999</v>
      </c>
      <c r="L98" s="32">
        <f>_xll.EVGET($I$59,$L$78,$L$79,$H98,"TOT")</f>
        <v>0</v>
      </c>
      <c r="M98" s="30">
        <f>K98+L98</f>
        <v>596709.99999839999</v>
      </c>
      <c r="N98" s="32">
        <f>_xll.EVGET(Käyttötalousosa!$I$59,Käyttötalousosa!$N$78,Käyttötalousosa!$N$79,Käyttötalousosa!$H98,Käyttötalousosa!$D$8)</f>
        <v>0</v>
      </c>
      <c r="O98" s="32">
        <v>782426.99999759998</v>
      </c>
      <c r="P98" s="32"/>
      <c r="Q98" s="32">
        <f t="shared" si="15"/>
        <v>782426.99999759998</v>
      </c>
      <c r="R98" s="30">
        <f>I!R98</f>
        <v>783000</v>
      </c>
      <c r="S98" s="30">
        <f>I!S98</f>
        <v>783000</v>
      </c>
      <c r="T98" s="30">
        <f>I!T98</f>
        <v>800000</v>
      </c>
      <c r="U98" s="35"/>
    </row>
    <row r="99" spans="1:21" x14ac:dyDescent="0.25">
      <c r="A99" s="6" t="s">
        <v>36</v>
      </c>
      <c r="B99" s="7"/>
      <c r="F99" s="90"/>
      <c r="G99" s="82" t="s">
        <v>121</v>
      </c>
      <c r="H99" s="37">
        <v>35</v>
      </c>
      <c r="I99" s="39" t="str">
        <f>_xll.EVDES(H99,$I$59)</f>
        <v>Muut toimintatuotot</v>
      </c>
      <c r="J99" s="32">
        <f>_xll.EVGET($I$59,$J$78,$J$79,$H99,"TOT")</f>
        <v>92900.19</v>
      </c>
      <c r="K99" s="32">
        <f>_xll.EVGET($I$59,$K$78,$K$79,$H99,"TOT")</f>
        <v>69999.999999599997</v>
      </c>
      <c r="L99" s="32">
        <f>_xll.EVGET($I$59,$L$78,$L$79,$H99,"TOT")</f>
        <v>0</v>
      </c>
      <c r="M99" s="30">
        <f>K99+L99</f>
        <v>69999.999999599997</v>
      </c>
      <c r="N99" s="32">
        <f>_xll.EVGET(Käyttötalousosa!$I$59,Käyttötalousosa!$N$78,Käyttötalousosa!$N$79,Käyttötalousosa!$H99,Käyttötalousosa!$D$8)</f>
        <v>0</v>
      </c>
      <c r="O99" s="32">
        <v>90318.999999599997</v>
      </c>
      <c r="P99" s="32"/>
      <c r="Q99" s="32">
        <f t="shared" si="15"/>
        <v>90318.999999599997</v>
      </c>
      <c r="R99" s="30">
        <f>I!R99</f>
        <v>90000</v>
      </c>
      <c r="S99" s="30">
        <f>I!S99</f>
        <v>90000</v>
      </c>
      <c r="T99" s="30">
        <f>I!T99</f>
        <v>100000</v>
      </c>
      <c r="U99" s="35"/>
    </row>
    <row r="100" spans="1:21" x14ac:dyDescent="0.25">
      <c r="A100" s="56" t="s">
        <v>37</v>
      </c>
      <c r="B100" s="57"/>
      <c r="F100" s="90"/>
      <c r="G100" s="82" t="s">
        <v>121</v>
      </c>
      <c r="H100" s="37"/>
      <c r="I100" s="39" t="s">
        <v>74</v>
      </c>
      <c r="J100" s="32"/>
      <c r="K100" s="32"/>
      <c r="L100" s="32"/>
      <c r="M100" s="30"/>
      <c r="N100" s="32"/>
      <c r="O100" s="32"/>
      <c r="P100" s="32"/>
      <c r="Q100" s="32"/>
      <c r="R100" s="32"/>
      <c r="S100" s="32"/>
      <c r="T100" s="32"/>
      <c r="U100" s="35"/>
    </row>
    <row r="101" spans="1:21" ht="15.75" thickBot="1" x14ac:dyDescent="0.3">
      <c r="A101" s="60" t="s">
        <v>38</v>
      </c>
      <c r="B101" s="61"/>
      <c r="C101" s="61"/>
      <c r="D101" s="61"/>
      <c r="E101" s="61"/>
      <c r="F101" s="84"/>
      <c r="G101" s="82" t="s">
        <v>121</v>
      </c>
      <c r="H101" s="16"/>
      <c r="I101" s="62" t="s">
        <v>78</v>
      </c>
      <c r="J101" s="44">
        <f>J95+J96+J97+J98+J99</f>
        <v>2013644.1400000001</v>
      </c>
      <c r="K101" s="44">
        <f>K95+K96+K97+K98+K99</f>
        <v>3717708</v>
      </c>
      <c r="L101" s="44">
        <f>L95+L96+L97+L98+L99</f>
        <v>0</v>
      </c>
      <c r="M101" s="45">
        <f>K101+L101</f>
        <v>3717708</v>
      </c>
      <c r="N101" s="44">
        <f t="shared" ref="N101:P101" si="16">N95+N96+N97+N98+N99</f>
        <v>0</v>
      </c>
      <c r="O101" s="44">
        <f t="shared" si="16"/>
        <v>3412128.9999972</v>
      </c>
      <c r="P101" s="44">
        <f t="shared" si="16"/>
        <v>0</v>
      </c>
      <c r="Q101" s="44">
        <f t="shared" ref="Q101" si="17">P101+O101</f>
        <v>3412128.9999972</v>
      </c>
      <c r="R101" s="44">
        <f t="shared" ref="R101:T101" si="18">R95+R96+R97+R98+R99</f>
        <v>3800000</v>
      </c>
      <c r="S101" s="44">
        <f t="shared" si="18"/>
        <v>3800000</v>
      </c>
      <c r="T101" s="44">
        <f t="shared" si="18"/>
        <v>4200000</v>
      </c>
      <c r="U101" s="35"/>
    </row>
    <row r="102" spans="1:21" ht="15.75" thickTop="1" x14ac:dyDescent="0.25">
      <c r="A102" s="58" t="s">
        <v>39</v>
      </c>
      <c r="B102" s="59"/>
      <c r="F102" s="90"/>
      <c r="G102" s="82" t="s">
        <v>121</v>
      </c>
      <c r="H102" s="40" t="s">
        <v>71</v>
      </c>
      <c r="I102" s="39" t="s">
        <v>74</v>
      </c>
      <c r="J102" s="32"/>
      <c r="K102" s="32"/>
      <c r="L102" s="32"/>
      <c r="M102" s="30"/>
      <c r="N102" s="32"/>
      <c r="O102" s="32"/>
      <c r="P102" s="32"/>
      <c r="Q102" s="32"/>
      <c r="R102" s="32"/>
      <c r="S102" s="32"/>
      <c r="T102" s="32"/>
      <c r="U102" s="35"/>
    </row>
    <row r="103" spans="1:21" x14ac:dyDescent="0.25">
      <c r="A103" s="6" t="s">
        <v>40</v>
      </c>
      <c r="B103" s="7"/>
      <c r="F103" s="85"/>
      <c r="G103" s="82" t="s">
        <v>121</v>
      </c>
      <c r="H103" s="17" t="s">
        <v>80</v>
      </c>
      <c r="I103" s="39" t="str">
        <f>_xll.EVDES(H103,$I$59)</f>
        <v>Valmistus omaan kayttoon</v>
      </c>
      <c r="J103" s="32">
        <f>_xll.EVGET($I$59,$J$78,$J$79,$H103,"TOT")</f>
        <v>0</v>
      </c>
      <c r="K103" s="32">
        <f>_xll.EVGET($I$59,$K$78,$K$79,$H103,"TOT")</f>
        <v>0</v>
      </c>
      <c r="L103" s="32">
        <f>_xll.EVGET($I$59,$L$78,$L$79,$H103,"TOT")</f>
        <v>0</v>
      </c>
      <c r="M103" s="32">
        <f>K103+J103</f>
        <v>0</v>
      </c>
      <c r="N103" s="32">
        <f>_xll.EVGET(Käyttötalousosa!$I$59,Käyttötalousosa!$N$78,Käyttötalousosa!$N$79,Käyttötalousosa!$H103,Käyttötalousosa!$D$8)</f>
        <v>0</v>
      </c>
      <c r="O103" s="32"/>
      <c r="P103" s="32"/>
      <c r="Q103" s="32">
        <f>P103+O103</f>
        <v>0</v>
      </c>
      <c r="R103" s="30">
        <f>I!R103</f>
        <v>0</v>
      </c>
      <c r="S103" s="30">
        <f>I!S103</f>
        <v>0</v>
      </c>
      <c r="T103" s="30">
        <f>I!T103</f>
        <v>0</v>
      </c>
      <c r="U103" s="35"/>
    </row>
    <row r="104" spans="1:21" x14ac:dyDescent="0.25">
      <c r="A104" s="6" t="s">
        <v>41</v>
      </c>
      <c r="B104" s="7"/>
      <c r="F104" s="90"/>
      <c r="G104" s="82" t="s">
        <v>121</v>
      </c>
      <c r="H104" s="40" t="s">
        <v>71</v>
      </c>
      <c r="I104" s="73" t="s">
        <v>74</v>
      </c>
      <c r="J104" s="32"/>
      <c r="K104" s="32"/>
      <c r="L104" s="32"/>
      <c r="M104" s="30"/>
      <c r="N104" s="32"/>
      <c r="O104" s="32"/>
      <c r="P104" s="32"/>
      <c r="Q104" s="32"/>
      <c r="R104" s="32"/>
      <c r="S104" s="32"/>
      <c r="T104" s="32"/>
      <c r="U104" s="35"/>
    </row>
    <row r="105" spans="1:21" x14ac:dyDescent="0.25">
      <c r="A105" s="6" t="s">
        <v>42</v>
      </c>
      <c r="B105" s="7"/>
      <c r="F105" s="90"/>
      <c r="G105" s="82" t="s">
        <v>121</v>
      </c>
      <c r="H105" s="37">
        <v>40</v>
      </c>
      <c r="I105" s="39" t="str">
        <f>_xll.EVDES(H105,$I$59)</f>
        <v>Henkilostokulut</v>
      </c>
      <c r="J105" s="32">
        <f t="shared" ref="J105:Q105" si="19">J106+J109+J110+J111</f>
        <v>4038424.18</v>
      </c>
      <c r="K105" s="32">
        <f t="shared" si="19"/>
        <v>4674482.2989948001</v>
      </c>
      <c r="L105" s="32">
        <f t="shared" si="19"/>
        <v>0</v>
      </c>
      <c r="M105" s="32">
        <f t="shared" si="19"/>
        <v>4674482.2989948001</v>
      </c>
      <c r="N105" s="32">
        <f t="shared" si="19"/>
        <v>0</v>
      </c>
      <c r="O105" s="32">
        <f t="shared" si="19"/>
        <v>4856397.4880831996</v>
      </c>
      <c r="P105" s="32">
        <f t="shared" si="19"/>
        <v>0</v>
      </c>
      <c r="Q105" s="32">
        <f t="shared" si="19"/>
        <v>4856397.4880831996</v>
      </c>
      <c r="R105" s="30">
        <f>I!R105</f>
        <v>4922000</v>
      </c>
      <c r="S105" s="30">
        <f>I!S105</f>
        <v>4950000</v>
      </c>
      <c r="T105" s="30">
        <f>I!T105</f>
        <v>5070000</v>
      </c>
      <c r="U105" s="35"/>
    </row>
    <row r="106" spans="1:21" x14ac:dyDescent="0.25">
      <c r="F106" s="90"/>
      <c r="G106" s="82" t="s">
        <v>121</v>
      </c>
      <c r="H106" s="37" t="s">
        <v>83</v>
      </c>
      <c r="I106" s="41" t="str">
        <f>_xll.EVDES(H106,$I$59)</f>
        <v>Palkat ja palkkiot</v>
      </c>
      <c r="J106" s="32">
        <f>_xll.EVGET($I$59,$J$78,$J$79,$H106,"TOT")</f>
        <v>3076171.37</v>
      </c>
      <c r="K106" s="32">
        <f>_xll.EVGET($I$59,$K$78,$K$79,$H106,"TOT")</f>
        <v>3516861.2600003998</v>
      </c>
      <c r="L106" s="32">
        <f>_xll.EVGET($I$59,$L$78,$L$79,$H106,"TOT")</f>
        <v>0</v>
      </c>
      <c r="M106" s="30">
        <f>K106+L106</f>
        <v>3516861.2600003998</v>
      </c>
      <c r="N106" s="32">
        <f>_xll.EVGET($I$59,$N$78,$N$79,$H106,$D$8)</f>
        <v>0</v>
      </c>
      <c r="O106" s="32">
        <f>_xll.EVGET($I$59,$O$78,$O$79,$H106)</f>
        <v>3637718.0100023998</v>
      </c>
      <c r="P106" s="32">
        <f>_xll.EVGET($I$59,$P$78,$P$79,$H106)</f>
        <v>0</v>
      </c>
      <c r="Q106" s="32">
        <f t="shared" ref="Q106" si="20">P106+O106</f>
        <v>3637718.0100023998</v>
      </c>
      <c r="R106" s="30">
        <f>I!R107</f>
        <v>3700000</v>
      </c>
      <c r="S106" s="30">
        <f>I!S107</f>
        <v>3720000</v>
      </c>
      <c r="T106" s="30">
        <f>I!T107</f>
        <v>3800000</v>
      </c>
      <c r="U106" s="35"/>
    </row>
    <row r="107" spans="1:21" hidden="1" x14ac:dyDescent="0.25">
      <c r="F107" s="90"/>
      <c r="G107" s="82" t="s">
        <v>121</v>
      </c>
      <c r="H107" s="37"/>
      <c r="I107" s="41" t="str">
        <f t="shared" ref="I107" si="21">"Toimielin "&amp;$J$140</f>
        <v>Toimielin Liikuntalautakunta</v>
      </c>
      <c r="J107" s="32"/>
      <c r="K107" s="32"/>
      <c r="L107" s="32"/>
      <c r="M107" s="30"/>
      <c r="N107" s="32"/>
      <c r="O107" s="32"/>
      <c r="P107" s="32"/>
      <c r="Q107" s="32"/>
      <c r="R107" s="30">
        <f>I!R107</f>
        <v>3700000</v>
      </c>
      <c r="S107" s="30">
        <f>I!S107</f>
        <v>3720000</v>
      </c>
      <c r="T107" s="30">
        <f>I!T107</f>
        <v>3800000</v>
      </c>
      <c r="U107" s="35"/>
    </row>
    <row r="108" spans="1:21" hidden="1" x14ac:dyDescent="0.25">
      <c r="F108" s="90"/>
      <c r="G108" s="82" t="s">
        <v>121</v>
      </c>
      <c r="H108" s="35"/>
      <c r="I108" s="41" t="s">
        <v>77</v>
      </c>
      <c r="J108" s="32">
        <f>J109+J110</f>
        <v>1030450.27</v>
      </c>
      <c r="K108" s="32">
        <f>K109+K110</f>
        <v>1157621.0389944001</v>
      </c>
      <c r="L108" s="32">
        <f>L109+L110</f>
        <v>0</v>
      </c>
      <c r="M108" s="30">
        <f t="shared" ref="M108:M111" si="22">K108+L108</f>
        <v>1157621.0389944001</v>
      </c>
      <c r="N108" s="32">
        <f>N109+N110</f>
        <v>0</v>
      </c>
      <c r="O108" s="32">
        <f>O109+O110</f>
        <v>1218679.4780808</v>
      </c>
      <c r="P108" s="32">
        <f>P109+P110</f>
        <v>0</v>
      </c>
      <c r="Q108" s="32">
        <f t="shared" ref="Q108:Q111" si="23">P108+O108</f>
        <v>1218679.4780808</v>
      </c>
      <c r="R108" s="30">
        <f>I!R108</f>
        <v>1222000</v>
      </c>
      <c r="S108" s="30">
        <f>I!S108</f>
        <v>1230000</v>
      </c>
      <c r="T108" s="30">
        <f>I!T108</f>
        <v>1270000</v>
      </c>
      <c r="U108" s="35"/>
    </row>
    <row r="109" spans="1:21" x14ac:dyDescent="0.25">
      <c r="F109" s="90"/>
      <c r="G109" s="82" t="s">
        <v>121</v>
      </c>
      <c r="H109" s="37">
        <v>410</v>
      </c>
      <c r="I109" s="41" t="str">
        <f>_xll.EVDES(H109,$I$59)</f>
        <v>Elakekulut</v>
      </c>
      <c r="J109" s="32">
        <f>_xll.EVGET($I$59,$J$78,$J$79,$H109,"TOT")</f>
        <v>851389.06</v>
      </c>
      <c r="K109" s="32">
        <f>_xll.EVGET($I$59,$K$78,$K$79,$H109,"TOT")</f>
        <v>940982.38537919999</v>
      </c>
      <c r="L109" s="32">
        <f>_xll.EVGET($I$59,$L$78,$L$79,$H109,"TOT")</f>
        <v>0</v>
      </c>
      <c r="M109" s="30">
        <f t="shared" si="22"/>
        <v>940982.38537919999</v>
      </c>
      <c r="N109" s="32">
        <f>_xll.EVGET(Käyttötalousosa!$I$59,Käyttötalousosa!$N$78,Käyttötalousosa!$N$79,Käyttötalousosa!$H109,Käyttötalousosa!$D$8)</f>
        <v>0</v>
      </c>
      <c r="O109" s="32">
        <v>990958.33065480005</v>
      </c>
      <c r="P109" s="32"/>
      <c r="Q109" s="32">
        <f t="shared" si="23"/>
        <v>990958.33065480005</v>
      </c>
      <c r="R109" s="30">
        <f>I!R109</f>
        <v>992000</v>
      </c>
      <c r="S109" s="30">
        <f>I!S109</f>
        <v>1000000</v>
      </c>
      <c r="T109" s="30">
        <f>I!T109</f>
        <v>1020000</v>
      </c>
      <c r="U109" s="35"/>
    </row>
    <row r="110" spans="1:21" x14ac:dyDescent="0.25">
      <c r="F110" s="90"/>
      <c r="G110" s="82" t="s">
        <v>121</v>
      </c>
      <c r="H110" s="37">
        <v>415</v>
      </c>
      <c r="I110" s="41" t="str">
        <f>_xll.EVDES(H110,$I$59)</f>
        <v>Muut henkilostosivukulut</v>
      </c>
      <c r="J110" s="32">
        <f>_xll.EVGET($I$59,$J$78,$J$79,$H110,"TOT")</f>
        <v>179061.21</v>
      </c>
      <c r="K110" s="32">
        <f>_xll.EVGET($I$59,$K$78,$K$79,$H110,"TOT")</f>
        <v>216638.65361519999</v>
      </c>
      <c r="L110" s="32">
        <f>_xll.EVGET($I$59,$L$78,$L$79,$H110,"TOT")</f>
        <v>0</v>
      </c>
      <c r="M110" s="30">
        <f t="shared" si="22"/>
        <v>216638.65361519999</v>
      </c>
      <c r="N110" s="32">
        <f>_xll.EVGET(Käyttötalousosa!$I$59,Käyttötalousosa!$N$78,Käyttötalousosa!$N$79,Käyttötalousosa!$H110,Käyttötalousosa!$D$8)</f>
        <v>0</v>
      </c>
      <c r="O110" s="32">
        <v>227721.14742600001</v>
      </c>
      <c r="P110" s="32"/>
      <c r="Q110" s="32">
        <f t="shared" si="23"/>
        <v>227721.14742600001</v>
      </c>
      <c r="R110" s="30">
        <f>I!R110</f>
        <v>230000</v>
      </c>
      <c r="S110" s="30">
        <f>I!S110</f>
        <v>230000</v>
      </c>
      <c r="T110" s="30">
        <f>I!T110</f>
        <v>250000</v>
      </c>
      <c r="U110" s="35"/>
    </row>
    <row r="111" spans="1:21" x14ac:dyDescent="0.25">
      <c r="F111" s="90"/>
      <c r="G111" s="82" t="s">
        <v>121</v>
      </c>
      <c r="H111" s="37">
        <v>423</v>
      </c>
      <c r="I111" s="41" t="str">
        <f>_xll.EVDES(H111,$I$59)</f>
        <v>Hlostokorvaukset &amp; -menojen korjauserat</v>
      </c>
      <c r="J111" s="32">
        <f>_xll.EVGET($I$59,$J$78,$J$79,$H111,"TOT")</f>
        <v>-68197.460000000006</v>
      </c>
      <c r="K111" s="32">
        <f>_xll.EVGET($I$59,$K$78,$K$79,$H111,"TOT")</f>
        <v>0</v>
      </c>
      <c r="L111" s="32">
        <f>_xll.EVGET($I$59,$L$78,$L$79,$H111,"TOT")</f>
        <v>0</v>
      </c>
      <c r="M111" s="30">
        <f t="shared" si="22"/>
        <v>0</v>
      </c>
      <c r="N111" s="32">
        <f>_xll.EVGET(Käyttötalousosa!$I$59,Käyttötalousosa!$N$78,Käyttötalousosa!$N$79,Käyttötalousosa!$H111,Käyttötalousosa!$D$8)</f>
        <v>0</v>
      </c>
      <c r="O111" s="32"/>
      <c r="P111" s="32"/>
      <c r="Q111" s="32">
        <f t="shared" si="23"/>
        <v>0</v>
      </c>
      <c r="R111" s="30">
        <f>I!R111</f>
        <v>0</v>
      </c>
      <c r="S111" s="30">
        <f>I!S111</f>
        <v>0</v>
      </c>
      <c r="T111" s="30">
        <f>I!T111</f>
        <v>0</v>
      </c>
      <c r="U111" s="35"/>
    </row>
    <row r="112" spans="1:21" x14ac:dyDescent="0.25">
      <c r="F112" s="90"/>
      <c r="G112" s="82" t="s">
        <v>121</v>
      </c>
      <c r="H112" s="37"/>
      <c r="I112" s="41" t="s">
        <v>74</v>
      </c>
      <c r="J112" s="32"/>
      <c r="K112" s="32"/>
      <c r="L112" s="32"/>
      <c r="M112" s="30"/>
      <c r="N112" s="32"/>
      <c r="O112" s="32"/>
      <c r="P112" s="32"/>
      <c r="Q112" s="32"/>
      <c r="R112" s="32"/>
      <c r="S112" s="32"/>
      <c r="T112" s="32"/>
      <c r="U112" s="35"/>
    </row>
    <row r="113" spans="6:21" x14ac:dyDescent="0.25">
      <c r="F113" s="91"/>
      <c r="G113" s="82" t="s">
        <v>121</v>
      </c>
      <c r="H113" s="37">
        <v>43</v>
      </c>
      <c r="I113" s="39" t="str">
        <f>_xll.EVDES(H113,$I$59)</f>
        <v>Palvelujen ostot</v>
      </c>
      <c r="J113" s="32">
        <f>_xll.EVGET($I$59,$J$78,$J$79,$H113,"TOT")</f>
        <v>2022817.05</v>
      </c>
      <c r="K113" s="32">
        <f>_xll.EVGET($I$59,$K$78,$K$79,$H113,"TOT")</f>
        <v>1602730.5199992</v>
      </c>
      <c r="L113" s="32">
        <f>_xll.EVGET($I$59,$L$78,$L$79,$H113,"TOT")</f>
        <v>0</v>
      </c>
      <c r="M113" s="30">
        <f t="shared" ref="M113:M119" si="24">K113+L113</f>
        <v>1602730.5199992</v>
      </c>
      <c r="N113" s="32">
        <f>_xll.EVGET(Käyttötalousosa!$I$59,Käyttötalousosa!$N$78,Käyttötalousosa!$N$79,Käyttötalousosa!$H113,Käyttötalousosa!$D$8)</f>
        <v>0</v>
      </c>
      <c r="O113" s="32">
        <v>2685136.4900027998</v>
      </c>
      <c r="P113" s="32"/>
      <c r="Q113" s="32">
        <f t="shared" ref="Q113:Q119" si="25">P113+O113</f>
        <v>2685136.4900027998</v>
      </c>
      <c r="R113" s="30">
        <f>I!R113</f>
        <v>2950000</v>
      </c>
      <c r="S113" s="30">
        <f>I!S113</f>
        <v>3179000</v>
      </c>
      <c r="T113" s="30">
        <f>I!T113</f>
        <v>3457000</v>
      </c>
      <c r="U113" s="35"/>
    </row>
    <row r="114" spans="6:21" x14ac:dyDescent="0.25">
      <c r="F114" s="91"/>
      <c r="G114" s="82" t="s">
        <v>121</v>
      </c>
      <c r="H114" s="37">
        <v>430</v>
      </c>
      <c r="I114" s="41" t="str">
        <f>_xll.EVDES(H114,$I$59)</f>
        <v>Asiakaspalvelujen ostot</v>
      </c>
      <c r="J114" s="32">
        <f>_xll.EVGET($I$59,$J$78,$J$79,$H114,"TOT")</f>
        <v>0</v>
      </c>
      <c r="K114" s="32">
        <f>_xll.EVGET($I$59,$K$78,$K$79,$H114,"TOT")</f>
        <v>0</v>
      </c>
      <c r="L114" s="32">
        <f>_xll.EVGET($I$59,$L$78,$L$79,$H114,"TOT")</f>
        <v>0</v>
      </c>
      <c r="M114" s="30">
        <f t="shared" si="24"/>
        <v>0</v>
      </c>
      <c r="N114" s="32">
        <f>_xll.EVGET(Käyttötalousosa!$I$59,Käyttötalousosa!$N$78,Käyttötalousosa!$N$79,Käyttötalousosa!$H114,Käyttötalousosa!$D$8)</f>
        <v>0</v>
      </c>
      <c r="O114" s="32"/>
      <c r="P114" s="32"/>
      <c r="Q114" s="32">
        <f t="shared" si="25"/>
        <v>0</v>
      </c>
      <c r="R114" s="30">
        <f>I!R114</f>
        <v>0</v>
      </c>
      <c r="S114" s="30">
        <f>I!S114</f>
        <v>0</v>
      </c>
      <c r="T114" s="30">
        <f>I!T114</f>
        <v>0</v>
      </c>
      <c r="U114" s="35"/>
    </row>
    <row r="115" spans="6:21" x14ac:dyDescent="0.25">
      <c r="F115" s="90"/>
      <c r="G115" s="82" t="s">
        <v>121</v>
      </c>
      <c r="H115" s="37">
        <v>434</v>
      </c>
      <c r="I115" s="41" t="str">
        <f>_xll.EVDES(H115,$I$59)</f>
        <v>Muiden palvelujen ostot</v>
      </c>
      <c r="J115" s="32">
        <f>_xll.EVGET($I$59,$J$78,$J$79,$H115,"TOT")</f>
        <v>2022817.05</v>
      </c>
      <c r="K115" s="32">
        <f>_xll.EVGET($I$59,$K$78,$K$79,$H115,"TOT")</f>
        <v>1602730.5199992</v>
      </c>
      <c r="L115" s="32">
        <f>_xll.EVGET($I$59,$L$78,$L$79,$H115,"TOT")</f>
        <v>0</v>
      </c>
      <c r="M115" s="30">
        <f t="shared" si="24"/>
        <v>1602730.5199992</v>
      </c>
      <c r="N115" s="32">
        <f>_xll.EVGET(Käyttötalousosa!$I$59,Käyttötalousosa!$N$78,Käyttötalousosa!$N$79,Käyttötalousosa!$H115,Käyttötalousosa!$D$8)</f>
        <v>0</v>
      </c>
      <c r="O115" s="32">
        <v>2685136.4900027998</v>
      </c>
      <c r="P115" s="32"/>
      <c r="Q115" s="32">
        <f t="shared" si="25"/>
        <v>2685136.4900027998</v>
      </c>
      <c r="R115" s="30">
        <f>I!R115</f>
        <v>2950000</v>
      </c>
      <c r="S115" s="30">
        <f>I!S115</f>
        <v>3179000</v>
      </c>
      <c r="T115" s="30">
        <f>I!T115</f>
        <v>3457000</v>
      </c>
      <c r="U115" s="35"/>
    </row>
    <row r="116" spans="6:21" x14ac:dyDescent="0.25">
      <c r="F116" s="90"/>
      <c r="G116" s="82" t="s">
        <v>121</v>
      </c>
      <c r="H116" s="37">
        <v>45</v>
      </c>
      <c r="I116" s="39" t="str">
        <f>_xll.EVDES(H116,$I$59)</f>
        <v>Aineet, tarvikkeet ja tavarat</v>
      </c>
      <c r="J116" s="32">
        <f>_xll.EVGET($I$59,$J$78,$J$79,$H116,"TOT")</f>
        <v>1492470.88</v>
      </c>
      <c r="K116" s="32">
        <f>_xll.EVGET($I$59,$K$78,$K$79,$H116,"TOT")</f>
        <v>1856977.7399964</v>
      </c>
      <c r="L116" s="32">
        <f>_xll.EVGET($I$59,$L$78,$L$79,$H116,"TOT")</f>
        <v>0</v>
      </c>
      <c r="M116" s="30">
        <f t="shared" si="24"/>
        <v>1856977.7399964</v>
      </c>
      <c r="N116" s="32">
        <f>_xll.EVGET(Käyttötalousosa!$I$59,Käyttötalousosa!$N$78,Käyttötalousosa!$N$79,Käyttötalousosa!$H116,Käyttötalousosa!$D$8)</f>
        <v>0</v>
      </c>
      <c r="O116" s="32">
        <v>1834138.0000056</v>
      </c>
      <c r="P116" s="32"/>
      <c r="Q116" s="32">
        <f t="shared" si="25"/>
        <v>1834138.0000056</v>
      </c>
      <c r="R116" s="30">
        <f>I!R116</f>
        <v>2167000</v>
      </c>
      <c r="S116" s="30">
        <f>I!S116</f>
        <v>2200000</v>
      </c>
      <c r="T116" s="30">
        <f>I!T116</f>
        <v>2300000</v>
      </c>
      <c r="U116" s="35"/>
    </row>
    <row r="117" spans="6:21" x14ac:dyDescent="0.25">
      <c r="F117" s="90"/>
      <c r="G117" s="82" t="s">
        <v>121</v>
      </c>
      <c r="H117" s="37">
        <v>47</v>
      </c>
      <c r="I117" s="39" t="str">
        <f>_xll.EVDES(H117,$I$59)</f>
        <v>Avustukset</v>
      </c>
      <c r="J117" s="32">
        <f>_xll.EVGET($I$59,$J$78,$J$79,$H117,"TOT")</f>
        <v>1525285.05</v>
      </c>
      <c r="K117" s="32">
        <f>_xll.EVGET($I$59,$K$78,$K$79,$H117,"TOT")</f>
        <v>1584999.9999984</v>
      </c>
      <c r="L117" s="32">
        <f>_xll.EVGET($I$59,$L$78,$L$79,$H117,"TOT")</f>
        <v>0</v>
      </c>
      <c r="M117" s="30">
        <f t="shared" si="24"/>
        <v>1584999.9999984</v>
      </c>
      <c r="N117" s="32">
        <f>_xll.EVGET(Käyttötalousosa!$I$59,Käyttötalousosa!$N$78,Käyttötalousosa!$N$79,Käyttötalousosa!$H117,Käyttötalousosa!$D$8)</f>
        <v>0</v>
      </c>
      <c r="O117" s="32">
        <v>1524999.9999996</v>
      </c>
      <c r="P117" s="32"/>
      <c r="Q117" s="32">
        <f t="shared" si="25"/>
        <v>1524999.9999996</v>
      </c>
      <c r="R117" s="30">
        <f>I!R117</f>
        <v>1680000</v>
      </c>
      <c r="S117" s="30">
        <f>I!S117</f>
        <v>1680000</v>
      </c>
      <c r="T117" s="30">
        <f>I!T117</f>
        <v>1690000</v>
      </c>
      <c r="U117" s="35"/>
    </row>
    <row r="118" spans="6:21" x14ac:dyDescent="0.25">
      <c r="F118" s="90"/>
      <c r="G118" s="82" t="s">
        <v>121</v>
      </c>
      <c r="H118" s="37">
        <v>480</v>
      </c>
      <c r="I118" s="39" t="str">
        <f>_xll.EVDES(H118,$I$59)</f>
        <v>Vuokrat</v>
      </c>
      <c r="J118" s="32">
        <f>_xll.EVGET($I$59,$J$78,$J$79,$H118,"TOT")</f>
        <v>8342803.0899999999</v>
      </c>
      <c r="K118" s="32">
        <f>_xll.EVGET($I$59,$K$78,$K$79,$H118,"TOT")</f>
        <v>10148498.9999988</v>
      </c>
      <c r="L118" s="32">
        <f>_xll.EVGET($I$59,$L$78,$L$79,$H118,"TOT")</f>
        <v>0</v>
      </c>
      <c r="M118" s="30">
        <f t="shared" si="24"/>
        <v>10148498.9999988</v>
      </c>
      <c r="N118" s="32">
        <f>_xll.EVGET(Käyttötalousosa!$I$59,Käyttötalousosa!$N$78,Käyttötalousosa!$N$79,Käyttötalousosa!$H118,Käyttötalousosa!$D$8)</f>
        <v>0</v>
      </c>
      <c r="O118" s="32">
        <v>11127134.000003999</v>
      </c>
      <c r="P118" s="32"/>
      <c r="Q118" s="32">
        <f t="shared" si="25"/>
        <v>11127134.000003999</v>
      </c>
      <c r="R118" s="30">
        <f>I!R118</f>
        <v>11400000</v>
      </c>
      <c r="S118" s="30">
        <f>I!S118</f>
        <v>11410000</v>
      </c>
      <c r="T118" s="30">
        <f>I!T118</f>
        <v>11500000</v>
      </c>
      <c r="U118" s="35"/>
    </row>
    <row r="119" spans="6:21" x14ac:dyDescent="0.25">
      <c r="F119" s="90"/>
      <c r="G119" s="82" t="s">
        <v>121</v>
      </c>
      <c r="H119" s="37">
        <v>490</v>
      </c>
      <c r="I119" s="39" t="str">
        <f>_xll.EVDES(H119,$I$59)</f>
        <v>Muut toimintakulut</v>
      </c>
      <c r="J119" s="32">
        <f>_xll.EVGET($I$59,$J$78,$J$79,$H119,"TOT")</f>
        <v>69983.48</v>
      </c>
      <c r="K119" s="32">
        <f>_xll.EVGET($I$59,$K$78,$K$79,$H119,"TOT")</f>
        <v>79438.000002000001</v>
      </c>
      <c r="L119" s="32">
        <f>_xll.EVGET($I$59,$L$78,$L$79,$H119,"TOT")</f>
        <v>0</v>
      </c>
      <c r="M119" s="30">
        <f t="shared" si="24"/>
        <v>79438.000002000001</v>
      </c>
      <c r="N119" s="32">
        <f>_xll.EVGET(Käyttötalousosa!$I$59,Käyttötalousosa!$N$78,Käyttötalousosa!$N$79,Käyttötalousosa!$H119,Käyttötalousosa!$D$8)</f>
        <v>0</v>
      </c>
      <c r="O119" s="32">
        <v>47655.999999599997</v>
      </c>
      <c r="P119" s="32"/>
      <c r="Q119" s="32">
        <f t="shared" si="25"/>
        <v>47655.999999599997</v>
      </c>
      <c r="R119" s="30">
        <f>I!R119</f>
        <v>81000</v>
      </c>
      <c r="S119" s="30">
        <f>I!S119</f>
        <v>81000</v>
      </c>
      <c r="T119" s="30">
        <f>I!T119</f>
        <v>83000</v>
      </c>
      <c r="U119" s="35"/>
    </row>
    <row r="120" spans="6:21" x14ac:dyDescent="0.25">
      <c r="F120" s="84"/>
      <c r="G120" s="82" t="s">
        <v>121</v>
      </c>
      <c r="H120" s="37"/>
      <c r="I120" s="42" t="s">
        <v>74</v>
      </c>
      <c r="J120" s="32"/>
      <c r="K120" s="32"/>
      <c r="L120" s="32"/>
      <c r="M120" s="30"/>
      <c r="N120" s="32"/>
      <c r="O120" s="32"/>
      <c r="P120" s="32"/>
      <c r="Q120" s="32"/>
      <c r="R120" s="32"/>
      <c r="S120" s="32"/>
      <c r="T120" s="32"/>
      <c r="U120" s="35"/>
    </row>
    <row r="121" spans="6:21" ht="15.75" thickBot="1" x14ac:dyDescent="0.3">
      <c r="F121" s="90"/>
      <c r="G121" s="82" t="s">
        <v>121</v>
      </c>
      <c r="H121" s="16" t="s">
        <v>60</v>
      </c>
      <c r="I121" s="46" t="str">
        <f>_xll.EVDES(H121,$I$59)</f>
        <v>Toimintakulut</v>
      </c>
      <c r="J121" s="44">
        <f>J105+J113+J116+J117+J118+J119</f>
        <v>17491783.73</v>
      </c>
      <c r="K121" s="44">
        <f t="shared" ref="K121:T121" si="26">K105+K113+K116+K117+K118+K119</f>
        <v>19947127.558989603</v>
      </c>
      <c r="L121" s="44">
        <f t="shared" si="26"/>
        <v>0</v>
      </c>
      <c r="M121" s="44">
        <f t="shared" si="26"/>
        <v>19947127.558989603</v>
      </c>
      <c r="N121" s="44">
        <f t="shared" si="26"/>
        <v>0</v>
      </c>
      <c r="O121" s="44">
        <f t="shared" si="26"/>
        <v>22075461.978094798</v>
      </c>
      <c r="P121" s="44">
        <f t="shared" si="26"/>
        <v>0</v>
      </c>
      <c r="Q121" s="44">
        <f t="shared" si="26"/>
        <v>22075461.978094798</v>
      </c>
      <c r="R121" s="44">
        <f t="shared" si="26"/>
        <v>23200000</v>
      </c>
      <c r="S121" s="44">
        <f t="shared" si="26"/>
        <v>23500000</v>
      </c>
      <c r="T121" s="44">
        <f t="shared" si="26"/>
        <v>24100000</v>
      </c>
      <c r="U121" s="35"/>
    </row>
    <row r="122" spans="6:21" ht="15.75" thickTop="1" x14ac:dyDescent="0.25">
      <c r="F122" s="84"/>
      <c r="G122" s="82" t="s">
        <v>121</v>
      </c>
      <c r="H122" s="37"/>
      <c r="I122" s="39" t="s">
        <v>74</v>
      </c>
      <c r="J122" s="32"/>
      <c r="K122" s="32"/>
      <c r="L122" s="32"/>
      <c r="M122" s="30" t="s">
        <v>74</v>
      </c>
      <c r="N122" s="29"/>
      <c r="O122" s="32"/>
      <c r="P122" s="29"/>
      <c r="Q122" s="29"/>
      <c r="R122" s="32"/>
      <c r="S122" s="32"/>
      <c r="T122" s="32"/>
      <c r="U122" s="35"/>
    </row>
    <row r="123" spans="6:21" ht="15.75" thickBot="1" x14ac:dyDescent="0.3">
      <c r="F123" s="90"/>
      <c r="G123" s="82" t="s">
        <v>121</v>
      </c>
      <c r="H123" s="16" t="s">
        <v>61</v>
      </c>
      <c r="I123" s="46" t="str">
        <f>_xll.EVDES(H123,$I$59)</f>
        <v>Toimintakate</v>
      </c>
      <c r="J123" s="44">
        <f>J101+J103-J121</f>
        <v>-15478139.59</v>
      </c>
      <c r="K123" s="44">
        <f>K101+K103-K121</f>
        <v>-16229419.558989603</v>
      </c>
      <c r="L123" s="44">
        <f>L101+L103-L121</f>
        <v>0</v>
      </c>
      <c r="M123" s="44">
        <f>M101+M103-M121</f>
        <v>-16229419.558989603</v>
      </c>
      <c r="N123" s="44">
        <f t="shared" ref="N123:T123" si="27">N101+N103-N121</f>
        <v>0</v>
      </c>
      <c r="O123" s="44">
        <f t="shared" si="27"/>
        <v>-18663332.978097599</v>
      </c>
      <c r="P123" s="44">
        <f t="shared" si="27"/>
        <v>0</v>
      </c>
      <c r="Q123" s="44">
        <f t="shared" si="27"/>
        <v>-18663332.978097599</v>
      </c>
      <c r="R123" s="44">
        <f t="shared" si="27"/>
        <v>-19400000</v>
      </c>
      <c r="S123" s="44">
        <f t="shared" si="27"/>
        <v>-19700000</v>
      </c>
      <c r="T123" s="44">
        <f t="shared" si="27"/>
        <v>-19900000</v>
      </c>
      <c r="U123" s="35"/>
    </row>
    <row r="124" spans="6:21" ht="15.75" thickTop="1" x14ac:dyDescent="0.25">
      <c r="F124" s="90"/>
      <c r="G124" s="82" t="s">
        <v>121</v>
      </c>
      <c r="H124" s="37"/>
      <c r="I124" s="73" t="s">
        <v>74</v>
      </c>
      <c r="J124" s="32"/>
      <c r="K124" s="32"/>
      <c r="L124" s="32"/>
      <c r="M124" s="30"/>
      <c r="N124" s="32"/>
      <c r="O124" s="32"/>
      <c r="P124" s="32"/>
      <c r="Q124" s="32"/>
      <c r="R124" s="32"/>
      <c r="S124" s="32"/>
      <c r="T124" s="32"/>
      <c r="U124" s="35"/>
    </row>
    <row r="125" spans="6:21" x14ac:dyDescent="0.25">
      <c r="F125" s="90"/>
      <c r="G125" s="82" t="s">
        <v>121</v>
      </c>
      <c r="H125" s="37">
        <v>50</v>
      </c>
      <c r="I125" s="39" t="str">
        <f>_xll.EVDES(H125,$I$59)</f>
        <v>Verotulot ja valtionosuudet</v>
      </c>
      <c r="J125" s="32">
        <f>_xll.EVGET($I$59,$J$78,$J$79,$H125,"TOT")</f>
        <v>0</v>
      </c>
      <c r="K125" s="32">
        <f>_xll.EVGET($I$59,$K$78,$K$79,$H125,"TOT")</f>
        <v>0</v>
      </c>
      <c r="L125" s="32">
        <f>_xll.EVGET($I$59,$L$78,$L$79,$H125,"TOT")</f>
        <v>0</v>
      </c>
      <c r="M125" s="30">
        <f>K125+L125</f>
        <v>0</v>
      </c>
      <c r="N125" s="32">
        <f>_xll.EVGET(Käyttötalousosa!$I$59,Käyttötalousosa!$N$78,Käyttötalousosa!$N$79,Käyttötalousosa!$H125,Käyttötalousosa!$D$8)</f>
        <v>0</v>
      </c>
      <c r="O125" s="32"/>
      <c r="P125" s="32"/>
      <c r="Q125" s="32">
        <f>P125+O125</f>
        <v>0</v>
      </c>
      <c r="R125" s="30">
        <f>I!R125</f>
        <v>0</v>
      </c>
      <c r="S125" s="30">
        <f>I!S125</f>
        <v>0</v>
      </c>
      <c r="T125" s="30">
        <f>I!T125</f>
        <v>0</v>
      </c>
      <c r="U125" s="35"/>
    </row>
    <row r="126" spans="6:21" x14ac:dyDescent="0.25">
      <c r="F126" s="90"/>
      <c r="G126" s="82" t="s">
        <v>121</v>
      </c>
      <c r="H126" s="37">
        <v>60</v>
      </c>
      <c r="I126" s="39" t="str">
        <f>_xll.EVDES(H126,$I$59)</f>
        <v>Rahoitustuotot ja -kulut</v>
      </c>
      <c r="J126" s="32">
        <f>_xll.EVGET($I$59,$J$78,$J$79,$H126,"TOT")</f>
        <v>-40.61</v>
      </c>
      <c r="K126" s="32">
        <f>_xll.EVGET($I$59,$K$78,$K$79,$H126,"TOT")</f>
        <v>0</v>
      </c>
      <c r="L126" s="32">
        <f>_xll.EVGET($I$59,$L$78,$L$79,$H126,"TOT")</f>
        <v>0</v>
      </c>
      <c r="M126" s="30">
        <f>K126+L126</f>
        <v>0</v>
      </c>
      <c r="N126" s="32">
        <f>_xll.EVGET(Käyttötalousosa!$I$59,Käyttötalousosa!$N$78,Käyttötalousosa!$N$79,Käyttötalousosa!$H126,Käyttötalousosa!$D$8)</f>
        <v>0</v>
      </c>
      <c r="O126" s="32"/>
      <c r="P126" s="32"/>
      <c r="Q126" s="32">
        <f>P126+O126</f>
        <v>0</v>
      </c>
      <c r="R126" s="30">
        <f>I!R126</f>
        <v>0</v>
      </c>
      <c r="S126" s="30">
        <f>I!S126</f>
        <v>0</v>
      </c>
      <c r="T126" s="30">
        <f>I!T126</f>
        <v>0</v>
      </c>
      <c r="U126" s="35"/>
    </row>
    <row r="127" spans="6:21" x14ac:dyDescent="0.25">
      <c r="F127" s="90"/>
      <c r="G127" s="82" t="s">
        <v>121</v>
      </c>
      <c r="H127" s="37">
        <v>70</v>
      </c>
      <c r="I127" s="39" t="str">
        <f>_xll.EVDES(H127,$I$59)</f>
        <v>Poistot ja arvonalentumiset</v>
      </c>
      <c r="J127" s="32">
        <f>_xll.EVGET($I$59,$J$78,$J$79,$H127,"TOT")</f>
        <v>168523</v>
      </c>
      <c r="K127" s="32">
        <f>_xll.EVGET($I$59,$K$78,$K$79,$H127,"TOT")</f>
        <v>214523.0000004</v>
      </c>
      <c r="L127" s="32">
        <f>_xll.EVGET($I$59,$L$78,$L$79,$H127,"TOT")</f>
        <v>0</v>
      </c>
      <c r="M127" s="30">
        <f>K127+L127</f>
        <v>214523.0000004</v>
      </c>
      <c r="N127" s="32">
        <f>_xll.EVGET(Käyttötalousosa!$I$59,Käyttötalousosa!$N$78,Käyttötalousosa!$N$79,Käyttötalousosa!$H127,Käyttötalousosa!$D$8)</f>
        <v>0</v>
      </c>
      <c r="O127" s="32">
        <v>190653.9999996</v>
      </c>
      <c r="P127" s="32"/>
      <c r="Q127" s="32">
        <f>P127+O127</f>
        <v>190653.9999996</v>
      </c>
      <c r="R127" s="30">
        <f>I!R127</f>
        <v>0</v>
      </c>
      <c r="S127" s="30">
        <f>I!S127</f>
        <v>0</v>
      </c>
      <c r="T127" s="30">
        <f>I!T127</f>
        <v>0</v>
      </c>
      <c r="U127" s="35"/>
    </row>
    <row r="128" spans="6:21" x14ac:dyDescent="0.25">
      <c r="F128" s="83"/>
      <c r="G128" s="82" t="s">
        <v>121</v>
      </c>
      <c r="H128" s="37">
        <v>80</v>
      </c>
      <c r="I128" s="39" t="str">
        <f>_xll.EVDES(H128,$I$59)</f>
        <v>Satunnaiset tuotot ja kulut</v>
      </c>
      <c r="J128" s="32">
        <f>_xll.EVGET($I$59,$J$78,$J$79,$H128,"TOT")</f>
        <v>0</v>
      </c>
      <c r="K128" s="32">
        <f>_xll.EVGET($I$59,$K$78,$K$79,$H128,"TOT")</f>
        <v>0</v>
      </c>
      <c r="L128" s="32">
        <f>_xll.EVGET($I$59,$L$78,$L$79,$H128,"TOT")</f>
        <v>0</v>
      </c>
      <c r="M128" s="30">
        <f>K128+L128</f>
        <v>0</v>
      </c>
      <c r="N128" s="32">
        <f>_xll.EVGET(Käyttötalousosa!$I$59,Käyttötalousosa!$N$78,Käyttötalousosa!$N$79,Käyttötalousosa!$H128,Käyttötalousosa!$D$8)</f>
        <v>0</v>
      </c>
      <c r="O128" s="32"/>
      <c r="P128" s="32"/>
      <c r="Q128" s="32">
        <f>P128+O128</f>
        <v>0</v>
      </c>
      <c r="R128" s="30">
        <f>I!R128</f>
        <v>0</v>
      </c>
      <c r="S128" s="30">
        <f>I!S128</f>
        <v>0</v>
      </c>
      <c r="T128" s="30">
        <f>I!T128</f>
        <v>0</v>
      </c>
      <c r="U128" s="35"/>
    </row>
    <row r="129" spans="6:21" x14ac:dyDescent="0.25">
      <c r="F129" s="90"/>
      <c r="G129" s="82" t="s">
        <v>121</v>
      </c>
      <c r="H129" s="37">
        <v>85</v>
      </c>
      <c r="I129" s="39" t="str">
        <f>_xll.EVDES(H129,$I$59)</f>
        <v>Varausten ja rahastojen muutokset</v>
      </c>
      <c r="J129" s="32">
        <f>_xll.EVGET($I$59,$J$78,$J$79,$H129,"TOT")</f>
        <v>0</v>
      </c>
      <c r="K129" s="32">
        <f>_xll.EVGET($I$59,$K$78,$K$79,$H129,"TOT")</f>
        <v>0</v>
      </c>
      <c r="L129" s="32">
        <f>_xll.EVGET($I$59,$L$78,$L$79,$H129,"TOT")</f>
        <v>0</v>
      </c>
      <c r="M129" s="30">
        <f>K129+L129</f>
        <v>0</v>
      </c>
      <c r="N129" s="32">
        <f>_xll.EVGET(Käyttötalousosa!$I$59,Käyttötalousosa!$N$78,Käyttötalousosa!$N$79,Käyttötalousosa!$H129,Käyttötalousosa!$D$8)</f>
        <v>0</v>
      </c>
      <c r="O129" s="32"/>
      <c r="P129" s="32"/>
      <c r="Q129" s="32">
        <f>P129+O129</f>
        <v>0</v>
      </c>
      <c r="R129" s="30">
        <f>I!R129</f>
        <v>0</v>
      </c>
      <c r="S129" s="30">
        <f>I!S129</f>
        <v>0</v>
      </c>
      <c r="T129" s="30">
        <f>I!T129</f>
        <v>0</v>
      </c>
      <c r="U129" s="35"/>
    </row>
    <row r="130" spans="6:21" x14ac:dyDescent="0.25">
      <c r="F130" s="85"/>
      <c r="G130" s="82" t="s">
        <v>121</v>
      </c>
      <c r="H130" s="37"/>
      <c r="I130" s="38" t="s">
        <v>74</v>
      </c>
      <c r="J130" s="32"/>
      <c r="K130" s="32"/>
      <c r="L130" s="32"/>
      <c r="M130" s="30"/>
      <c r="N130" s="32"/>
      <c r="O130" s="32"/>
      <c r="P130" s="32"/>
      <c r="Q130" s="32"/>
      <c r="R130" s="32"/>
      <c r="S130" s="32"/>
      <c r="T130" s="32"/>
      <c r="U130" s="35"/>
    </row>
    <row r="131" spans="6:21" ht="15.75" thickBot="1" x14ac:dyDescent="0.3">
      <c r="F131" s="83"/>
      <c r="G131" s="82" t="s">
        <v>121</v>
      </c>
      <c r="H131" s="16"/>
      <c r="I131" s="63" t="s">
        <v>62</v>
      </c>
      <c r="J131" s="44">
        <f>J123-J127+J128+J129+J126+J125</f>
        <v>-15646703.199999999</v>
      </c>
      <c r="K131" s="44">
        <f t="shared" ref="K131:T131" si="28">K123-K127+K128+K129+K126+K125</f>
        <v>-16443942.558990004</v>
      </c>
      <c r="L131" s="44">
        <f t="shared" si="28"/>
        <v>0</v>
      </c>
      <c r="M131" s="44">
        <f t="shared" si="28"/>
        <v>-16443942.558990004</v>
      </c>
      <c r="N131" s="44">
        <f t="shared" si="28"/>
        <v>0</v>
      </c>
      <c r="O131" s="44">
        <f t="shared" si="28"/>
        <v>-18853986.9780972</v>
      </c>
      <c r="P131" s="44">
        <f t="shared" si="28"/>
        <v>0</v>
      </c>
      <c r="Q131" s="44">
        <f t="shared" si="28"/>
        <v>-18853986.9780972</v>
      </c>
      <c r="R131" s="44">
        <f t="shared" si="28"/>
        <v>-19400000</v>
      </c>
      <c r="S131" s="44">
        <f t="shared" si="28"/>
        <v>-19700000</v>
      </c>
      <c r="T131" s="44">
        <f t="shared" si="28"/>
        <v>-19900000</v>
      </c>
      <c r="U131" s="35"/>
    </row>
    <row r="132" spans="6:21" ht="15.75" thickTop="1" x14ac:dyDescent="0.25">
      <c r="F132" s="86"/>
      <c r="G132" s="82" t="s">
        <v>121</v>
      </c>
      <c r="H132" s="37"/>
      <c r="I132" s="73" t="s">
        <v>74</v>
      </c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5"/>
    </row>
    <row r="133" spans="6:21" x14ac:dyDescent="0.25">
      <c r="F133" s="86"/>
      <c r="G133" s="87" t="s">
        <v>121</v>
      </c>
      <c r="H133" s="16"/>
      <c r="I133" s="67" t="s">
        <v>87</v>
      </c>
      <c r="J133" s="34">
        <f>_xll.EVGET($I$59,J$78,$I$62,$I$63,$I$64,$I$66,J$79,$I$69,"YHT","TILI:3","VERSIO:TOT")</f>
        <v>123901.95</v>
      </c>
      <c r="K133" s="34">
        <f>_xll.EVGET($I$59,K$78,$I$62,$I$63,$I$64,$I$66,K$79,$I$69,"YHT","TILI:3","VERSIO:TOT")</f>
        <v>0</v>
      </c>
      <c r="L133" s="34">
        <f>_xll.EVGET($I$59,L$78,$I$62,$I$63,$I$64,$I$66,L$79,$I$69,"YHT","TILI:3","VERSIO:TOT")</f>
        <v>0</v>
      </c>
      <c r="M133" s="34">
        <f>K133+L133</f>
        <v>0</v>
      </c>
      <c r="N133" s="34" t="str">
        <f>_xll.EVGET($I$59,N$78,$I$62,$I$63,$I$64,$I$66,N$79,$I$69,"YHT","TILI:3",D87)</f>
        <v>#NODATA</v>
      </c>
      <c r="O133" s="34">
        <f>_xll.EVGET($I$59,O$78,$I$62,$I$63,$I$64,$I$66,O$79,$I$69,"YHT","TILI:3")</f>
        <v>0</v>
      </c>
      <c r="P133" s="34">
        <f>_xll.EVGET($I$59,P$78,$I$62,$I$63,$I$64,$I$66,P$79,$I$69,"YHT","TILI:3")</f>
        <v>0</v>
      </c>
      <c r="Q133" s="34">
        <f>O133+P133</f>
        <v>0</v>
      </c>
      <c r="R133" s="34">
        <f>I!R133</f>
        <v>0</v>
      </c>
      <c r="S133" s="34">
        <f>I!S133</f>
        <v>0</v>
      </c>
      <c r="T133" s="34">
        <f>I!T133</f>
        <v>0</v>
      </c>
      <c r="U133" s="35"/>
    </row>
    <row r="134" spans="6:21" ht="15.75" thickBot="1" x14ac:dyDescent="0.3">
      <c r="F134" s="90"/>
      <c r="G134" s="87" t="s">
        <v>121</v>
      </c>
      <c r="H134" s="16"/>
      <c r="I134" s="66" t="s">
        <v>63</v>
      </c>
      <c r="J134" s="44">
        <f>_xll.EVGET($I$59,J$78,$I$62,$I$63,$I$64,$I$66,J$79,$I$69,"YHT","TILI:4","VERSIO:TOT")</f>
        <v>-8389689.3300000001</v>
      </c>
      <c r="K134" s="44">
        <f>_xll.EVGET($I$59,K$78,$I$62,$I$63,$I$64,$I$66,K$79,$I$69,"YHT","TILI:4","VERSIO:TOT")</f>
        <v>-9645306.4999979995</v>
      </c>
      <c r="L134" s="44">
        <f>_xll.EVGET($I$59,L$78,$I$62,$I$63,$I$64,$I$66,L$79,$I$69,"YHT","TILI:4","VERSIO:TOT")</f>
        <v>0</v>
      </c>
      <c r="M134" s="44">
        <f>K134+L134</f>
        <v>-9645306.4999979995</v>
      </c>
      <c r="N134" s="44" t="str">
        <f>_xll.EVGET($I$59,N$78,$I$62,$I$63,$I$64,$I$66,N$79,$I$69,"YHT","TILI:4",D87)</f>
        <v>#NODATA</v>
      </c>
      <c r="O134" s="44">
        <f>_xll.EVGET($I$59,O$78,$I$62,$I$63,$I$64,$I$66,O$79,$I$69,"YHT","TILI:4")</f>
        <v>-10334443.5022812</v>
      </c>
      <c r="P134" s="44">
        <f>_xll.EVGET($I$59,P$78,$I$62,$I$63,$I$64,$I$66,P$79,$I$69,"YHT","TILI:4")</f>
        <v>0</v>
      </c>
      <c r="Q134" s="44">
        <f>O134+P134</f>
        <v>-10334443.5022812</v>
      </c>
      <c r="R134" s="44">
        <f>I!R134</f>
        <v>0</v>
      </c>
      <c r="S134" s="44">
        <f>I!S134</f>
        <v>0</v>
      </c>
      <c r="T134" s="44">
        <f>I!T134</f>
        <v>0</v>
      </c>
      <c r="U134" s="35"/>
    </row>
    <row r="135" spans="6:21" ht="15.75" thickTop="1" x14ac:dyDescent="0.25">
      <c r="F135" s="90"/>
      <c r="G135" s="82" t="s">
        <v>121</v>
      </c>
      <c r="I135" s="1" t="s">
        <v>74</v>
      </c>
    </row>
    <row r="136" spans="6:21" x14ac:dyDescent="0.25">
      <c r="G136" s="54"/>
      <c r="H136" s="54"/>
      <c r="I136" s="54" t="s">
        <v>79</v>
      </c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</row>
    <row r="137" spans="6:21" x14ac:dyDescent="0.25">
      <c r="I137" s="20" t="s">
        <v>44</v>
      </c>
      <c r="J137" s="16" t="str">
        <f>I59</f>
        <v>TKU_MÄÄRÄRAHA</v>
      </c>
    </row>
    <row r="138" spans="6:21" x14ac:dyDescent="0.25">
      <c r="I138" s="20" t="s">
        <v>21</v>
      </c>
      <c r="J138" s="16" t="str">
        <f>J60</f>
        <v>2012.Yhteensä</v>
      </c>
    </row>
    <row r="139" spans="6:21" x14ac:dyDescent="0.25">
      <c r="I139" s="20" t="s">
        <v>46</v>
      </c>
      <c r="J139" s="16" t="str">
        <f t="shared" ref="J139:J147" si="29">J61</f>
        <v>Turun kaupunki</v>
      </c>
    </row>
    <row r="140" spans="6:21" x14ac:dyDescent="0.25">
      <c r="I140" s="20" t="s">
        <v>47</v>
      </c>
      <c r="J140" s="16" t="str">
        <f t="shared" si="29"/>
        <v>Liikuntalautakunta</v>
      </c>
    </row>
    <row r="141" spans="6:21" x14ac:dyDescent="0.25">
      <c r="I141" s="20" t="s">
        <v>48</v>
      </c>
      <c r="J141" s="16" t="str">
        <f t="shared" si="29"/>
        <v>Periodic</v>
      </c>
    </row>
    <row r="142" spans="6:21" x14ac:dyDescent="0.25">
      <c r="I142" s="20" t="s">
        <v>49</v>
      </c>
      <c r="J142" s="16" t="str">
        <f t="shared" si="29"/>
        <v>Tilastolliset tilaukset YHTEENSÄ</v>
      </c>
    </row>
    <row r="143" spans="6:21" x14ac:dyDescent="0.25">
      <c r="I143" s="20" t="s">
        <v>24</v>
      </c>
      <c r="J143" s="16" t="str">
        <f t="shared" si="29"/>
        <v>Rakennusten ja huoneistojen vuokrat</v>
      </c>
    </row>
    <row r="144" spans="6:21" x14ac:dyDescent="0.25">
      <c r="I144" s="20" t="s">
        <v>50</v>
      </c>
      <c r="J144" s="16" t="str">
        <f t="shared" si="29"/>
        <v>Ei Määritelty</v>
      </c>
    </row>
    <row r="145" spans="9:10" x14ac:dyDescent="0.25">
      <c r="I145" s="20" t="s">
        <v>22</v>
      </c>
      <c r="J145" s="16" t="str">
        <f t="shared" si="29"/>
        <v>Toimielimen ehdotus</v>
      </c>
    </row>
    <row r="146" spans="9:10" x14ac:dyDescent="0.25">
      <c r="I146" s="20" t="s">
        <v>51</v>
      </c>
      <c r="J146" s="16" t="str">
        <f t="shared" si="29"/>
        <v>Raamia vastaava budjetti V1</v>
      </c>
    </row>
    <row r="147" spans="9:10" x14ac:dyDescent="0.25">
      <c r="I147" s="20" t="s">
        <v>52</v>
      </c>
      <c r="J147" s="16" t="str">
        <f t="shared" si="29"/>
        <v>Turun peruskaupunki</v>
      </c>
    </row>
    <row r="148" spans="9:10" x14ac:dyDescent="0.25">
      <c r="I148" s="20" t="s">
        <v>75</v>
      </c>
      <c r="J148" s="16" t="str">
        <f>_xll.EVUSR()</f>
        <v>kaiahola</v>
      </c>
    </row>
    <row r="149" spans="9:10" x14ac:dyDescent="0.25">
      <c r="I149" s="20" t="s">
        <v>76</v>
      </c>
      <c r="J149" s="21">
        <f ca="1">TODAY()</f>
        <v>41166</v>
      </c>
    </row>
  </sheetData>
  <sheetProtection sheet="1" objects="1" scenarios="1"/>
  <phoneticPr fontId="10" type="noConversion"/>
  <dataValidations disablePrompts="1" count="2">
    <dataValidation type="list" allowBlank="1" sqref="B82:E82">
      <formula1>"SELF,ALL,BAS,DEP,BASMEMBERS,MEMBERS,NOEXPAND,GDEP"</formula1>
    </dataValidation>
    <dataValidation type="list" allowBlank="1" sqref="B81:E81">
      <formula1>"AIKA,KUMPPANI,KUSTANNUSPAIKKA,MEASURES,TILAUS,TILI,TOIMINTOALUE,TYYPPI,VERSIO,YRITYS"</formula1>
    </dataValidation>
  </dataValidations>
  <pageMargins left="0.74803149606299213" right="0.74803149606299213" top="0.59055118110236227" bottom="0.59055118110236227" header="0.39370078740157483" footer="0.51181102362204722"/>
  <pageSetup paperSize="9" scale="69" fitToHeight="2" orientation="landscape" r:id="rId1"/>
  <headerFooter alignWithMargins="0">
    <oddHeader>&amp;R&amp;D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2"/>
  <dimension ref="A1:X149"/>
  <sheetViews>
    <sheetView topLeftCell="V1" zoomScale="70" workbookViewId="0">
      <selection activeCell="H28" sqref="H28"/>
    </sheetView>
  </sheetViews>
  <sheetFormatPr defaultRowHeight="15" outlineLevelCol="1" x14ac:dyDescent="0.25"/>
  <cols>
    <col min="1" max="1" width="21.140625" style="1" hidden="1" customWidth="1" outlineLevel="1"/>
    <col min="2" max="2" width="29.5703125" style="1" hidden="1" customWidth="1" outlineLevel="1"/>
    <col min="3" max="4" width="16.85546875" style="1" hidden="1" customWidth="1" outlineLevel="1"/>
    <col min="5" max="5" width="27.7109375" style="1" hidden="1" customWidth="1" outlineLevel="1"/>
    <col min="6" max="6" width="8.7109375" style="26" hidden="1" customWidth="1" outlineLevel="1"/>
    <col min="7" max="7" width="15" style="1" hidden="1" customWidth="1" outlineLevel="1"/>
    <col min="8" max="8" width="24.28515625" style="1" hidden="1" customWidth="1" outlineLevel="1"/>
    <col min="9" max="9" width="50" style="1" hidden="1" customWidth="1" outlineLevel="1"/>
    <col min="10" max="10" width="21.42578125" style="1" hidden="1" customWidth="1" outlineLevel="1"/>
    <col min="11" max="12" width="17.28515625" style="1" hidden="1" customWidth="1" outlineLevel="1"/>
    <col min="13" max="13" width="15" style="1" hidden="1" customWidth="1" outlineLevel="1"/>
    <col min="14" max="15" width="17.28515625" style="1" hidden="1" customWidth="1" outlineLevel="1"/>
    <col min="16" max="16" width="23" style="1" hidden="1" customWidth="1" outlineLevel="1"/>
    <col min="17" max="17" width="17" style="1" hidden="1" customWidth="1" outlineLevel="1"/>
    <col min="18" max="20" width="17.28515625" style="1" hidden="1" customWidth="1" outlineLevel="1"/>
    <col min="21" max="21" width="9.140625" style="1" hidden="1" customWidth="1" outlineLevel="1"/>
    <col min="22" max="22" width="11" style="1" bestFit="1" customWidth="1" collapsed="1"/>
    <col min="23" max="16384" width="9.140625" style="1"/>
  </cols>
  <sheetData>
    <row r="1" spans="1:24" x14ac:dyDescent="0.25">
      <c r="A1" s="3" t="str">
        <f>_xll.EVDRE($I$59,A61:B68,A80:E86)</f>
        <v>EVDRE:OK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4" x14ac:dyDescent="0.25">
      <c r="I2" s="68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5" customFormat="1" x14ac:dyDescent="0.25">
      <c r="F3" s="36"/>
      <c r="I3" s="43" t="str">
        <f>"Toimielin "&amp;$J$140</f>
        <v>Toimielin Liikuntalautakunta</v>
      </c>
      <c r="J3" s="69" t="s">
        <v>74</v>
      </c>
      <c r="K3" s="69" t="s">
        <v>74</v>
      </c>
      <c r="L3" s="69" t="s">
        <v>74</v>
      </c>
      <c r="M3" s="69" t="s">
        <v>74</v>
      </c>
      <c r="N3" s="69" t="s">
        <v>74</v>
      </c>
      <c r="O3" s="69" t="s">
        <v>74</v>
      </c>
      <c r="P3" s="69" t="s">
        <v>74</v>
      </c>
      <c r="Q3" s="69" t="s">
        <v>74</v>
      </c>
      <c r="R3" s="69" t="s">
        <v>74</v>
      </c>
      <c r="S3" s="69" t="s">
        <v>74</v>
      </c>
      <c r="T3" s="69" t="s">
        <v>74</v>
      </c>
    </row>
    <row r="4" spans="1:24" s="35" customFormat="1" x14ac:dyDescent="0.25">
      <c r="F4" s="36"/>
      <c r="H4" s="37"/>
      <c r="I4" s="43" t="s">
        <v>53</v>
      </c>
      <c r="J4" s="30"/>
      <c r="K4" s="30"/>
      <c r="L4" s="30"/>
      <c r="M4" s="30"/>
      <c r="N4" s="31"/>
      <c r="O4" s="30"/>
      <c r="P4" s="30"/>
      <c r="Q4" s="30"/>
      <c r="R4" s="30"/>
      <c r="S4" s="30"/>
      <c r="T4" s="30"/>
    </row>
    <row r="5" spans="1:24" s="35" customFormat="1" x14ac:dyDescent="0.25">
      <c r="F5" s="36"/>
      <c r="H5" s="37"/>
      <c r="I5" s="43" t="s">
        <v>54</v>
      </c>
      <c r="J5" s="30"/>
      <c r="K5" s="30"/>
      <c r="L5" s="30"/>
      <c r="M5" s="30"/>
      <c r="N5" s="31"/>
      <c r="O5" s="30"/>
      <c r="P5" s="30"/>
      <c r="Q5" s="32" t="s">
        <v>74</v>
      </c>
      <c r="R5" s="30"/>
      <c r="S5" s="30"/>
      <c r="T5" s="30"/>
    </row>
    <row r="6" spans="1:24" s="35" customFormat="1" x14ac:dyDescent="0.25">
      <c r="F6" s="36"/>
      <c r="H6" s="40" t="s">
        <v>117</v>
      </c>
      <c r="I6" s="47" t="str">
        <f>_xll.EVDES(H6,$I$59)</f>
        <v>TOIMINTATUOTOT</v>
      </c>
      <c r="J6" s="48">
        <f>_xll.EVGET($I$59,$J$78,$J$79,$H6,"TOT")</f>
        <v>0</v>
      </c>
      <c r="K6" s="48">
        <f>_xll.EVGET($I$59,$K$78,$K$79,$H6,"TOT")</f>
        <v>0</v>
      </c>
      <c r="L6" s="48">
        <f>_xll.EVGET($I$59,$L$78,$L$79,$H6,"TOT")</f>
        <v>0</v>
      </c>
      <c r="M6" s="48">
        <f>K6+L6</f>
        <v>0</v>
      </c>
      <c r="N6" s="48">
        <f>_xll.EVGET($I$59,$N$78,$N$79,$H6)</f>
        <v>0</v>
      </c>
      <c r="O6" s="48">
        <f>_xll.EVGET($I$59,$O$78,$O$79,$H6)</f>
        <v>0</v>
      </c>
      <c r="P6" s="48">
        <f>_xll.EVGET($I$59,$P$78,$P$79,$H6)</f>
        <v>0</v>
      </c>
      <c r="Q6" s="70">
        <f>P6+O6</f>
        <v>0</v>
      </c>
      <c r="R6" s="48"/>
      <c r="S6" s="48"/>
      <c r="T6" s="49"/>
    </row>
    <row r="7" spans="1:24" s="35" customFormat="1" x14ac:dyDescent="0.25">
      <c r="F7" s="36"/>
      <c r="H7" s="40" t="s">
        <v>89</v>
      </c>
      <c r="I7" s="28" t="str">
        <f>_xll.EVDES(H7,$I$59)</f>
        <v>TOIMINTAKULUT</v>
      </c>
      <c r="J7" s="32">
        <f>J42</f>
        <v>0</v>
      </c>
      <c r="K7" s="32">
        <f t="shared" ref="K7:T7" si="0">K42</f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>
        <f t="shared" si="0"/>
        <v>0</v>
      </c>
      <c r="Q7" s="32">
        <f t="shared" si="0"/>
        <v>0</v>
      </c>
      <c r="R7" s="32">
        <f t="shared" si="0"/>
        <v>0</v>
      </c>
      <c r="S7" s="32">
        <f t="shared" si="0"/>
        <v>0</v>
      </c>
      <c r="T7" s="33">
        <f t="shared" si="0"/>
        <v>0</v>
      </c>
    </row>
    <row r="8" spans="1:24" s="35" customFormat="1" x14ac:dyDescent="0.25">
      <c r="F8" s="36"/>
      <c r="H8" s="37"/>
      <c r="I8" s="28" t="s">
        <v>55</v>
      </c>
      <c r="J8" s="32">
        <f>J6-J7</f>
        <v>0</v>
      </c>
      <c r="K8" s="32">
        <f t="shared" ref="K8:T8" si="1">K6-K7</f>
        <v>0</v>
      </c>
      <c r="L8" s="32">
        <f t="shared" si="1"/>
        <v>0</v>
      </c>
      <c r="M8" s="32">
        <f t="shared" si="1"/>
        <v>0</v>
      </c>
      <c r="N8" s="32">
        <f t="shared" si="1"/>
        <v>0</v>
      </c>
      <c r="O8" s="32">
        <f t="shared" si="1"/>
        <v>0</v>
      </c>
      <c r="P8" s="32">
        <f t="shared" si="1"/>
        <v>0</v>
      </c>
      <c r="Q8" s="32">
        <f t="shared" si="1"/>
        <v>0</v>
      </c>
      <c r="R8" s="32">
        <f t="shared" si="1"/>
        <v>0</v>
      </c>
      <c r="S8" s="32">
        <f t="shared" si="1"/>
        <v>0</v>
      </c>
      <c r="T8" s="33">
        <f t="shared" si="1"/>
        <v>0</v>
      </c>
    </row>
    <row r="9" spans="1:24" s="35" customFormat="1" x14ac:dyDescent="0.25">
      <c r="F9" s="36"/>
      <c r="H9" s="37"/>
      <c r="I9" s="71" t="s">
        <v>56</v>
      </c>
      <c r="J9" s="72"/>
      <c r="K9" s="72"/>
      <c r="L9" s="72"/>
      <c r="M9" s="51">
        <f>K9+J9</f>
        <v>0</v>
      </c>
      <c r="N9" s="50">
        <f>IF(ISERR(100*N8/K8-100),0,100*N8/K8-100)</f>
        <v>0</v>
      </c>
      <c r="O9" s="50">
        <f>IF(ISERR(100*O8/K8-100),0,100*O8/K8-100)</f>
        <v>0</v>
      </c>
      <c r="P9" s="50"/>
      <c r="Q9" s="72">
        <f>P9+O9</f>
        <v>0</v>
      </c>
      <c r="R9" s="50">
        <f>IF(ISERR(100*R8*1000/O8-100),0,100*R8*1000/O8-100)</f>
        <v>0</v>
      </c>
      <c r="S9" s="50">
        <f>IF(ISERR(100*S8/R8-100),0,100*S8/R8-100)</f>
        <v>0</v>
      </c>
      <c r="T9" s="52">
        <f>IF(ISERR(100*T8/S8-100),0,100*T8/S8-100)</f>
        <v>0</v>
      </c>
    </row>
    <row r="10" spans="1:24" s="35" customFormat="1" x14ac:dyDescent="0.25">
      <c r="F10" s="36"/>
      <c r="H10" s="37"/>
      <c r="I10" s="39" t="s">
        <v>74</v>
      </c>
      <c r="J10" s="32"/>
      <c r="K10" s="32"/>
      <c r="L10" s="32"/>
      <c r="M10" s="30"/>
      <c r="N10" s="29"/>
      <c r="O10" s="32"/>
      <c r="P10" s="32"/>
      <c r="Q10" s="32"/>
      <c r="R10" s="32"/>
      <c r="S10" s="32"/>
      <c r="T10" s="32"/>
    </row>
    <row r="11" spans="1:24" s="35" customFormat="1" x14ac:dyDescent="0.25">
      <c r="F11" s="36"/>
      <c r="H11" s="37"/>
      <c r="I11" s="43" t="s">
        <v>57</v>
      </c>
      <c r="J11" s="32"/>
      <c r="K11" s="32"/>
      <c r="L11" s="32"/>
      <c r="M11" s="30"/>
      <c r="N11" s="29"/>
      <c r="O11" s="32"/>
      <c r="P11" s="32"/>
      <c r="Q11" s="32">
        <f>P11+O11</f>
        <v>0</v>
      </c>
      <c r="R11" s="32"/>
      <c r="S11" s="32"/>
      <c r="T11" s="32"/>
    </row>
    <row r="12" spans="1:24" s="35" customFormat="1" x14ac:dyDescent="0.25">
      <c r="F12" s="36"/>
      <c r="H12" s="37" t="s">
        <v>58</v>
      </c>
      <c r="I12" s="39" t="str">
        <f>_xll.EVDES(H12,$I$59)</f>
        <v>Valtionosuudet ja muut rahoitusosuudet</v>
      </c>
      <c r="J12" s="32">
        <f>_xll.EVGET($I$59,$J$78,$J$79,$H12,"TOT",$C$90,"TILAUS:A")</f>
        <v>0</v>
      </c>
      <c r="K12" s="32">
        <f>_xll.EVGET($I$59,$K$78,$K$79,$H12,"TOT",$C$90,"TILAUS:A")</f>
        <v>0</v>
      </c>
      <c r="L12" s="32">
        <f>_xll.EVGET($I$59,$L$78,$L$79,$H12,"TOT",$C$90,"TILAUS:A")</f>
        <v>0</v>
      </c>
      <c r="M12" s="30">
        <f>K12+L12</f>
        <v>0</v>
      </c>
      <c r="N12" s="32">
        <f>_xll.EVGET($I$59,$N$78,$N$79,$H12,$C$90,"TILAUS:A")</f>
        <v>0</v>
      </c>
      <c r="O12" s="32">
        <f>_xll.EVGET($I$59,$O$78,$O$79,$H12,$C$90,"TILAUS:A")</f>
        <v>0</v>
      </c>
      <c r="P12" s="32">
        <f>_xll.EVGET($I$59,$P$78,$P$79,$H12,$C$90,"TILAUS:A")</f>
        <v>0</v>
      </c>
      <c r="Q12" s="32">
        <f>P12+O12</f>
        <v>0</v>
      </c>
      <c r="R12" s="32">
        <f>_xll.EVGET($I$59,$R$78,$R$79,$H12,$C$90,"TILAUS:A")</f>
        <v>0</v>
      </c>
      <c r="S12" s="32">
        <f>_xll.EVGET($I$59,$S$78,$S$79,$H12,$C$90,"TILAUS:A")</f>
        <v>0</v>
      </c>
      <c r="T12" s="32">
        <f>_xll.EVGET($I$59,$T$78,$T$79,$H12,$C$90,"TILAUS:A")</f>
        <v>0</v>
      </c>
    </row>
    <row r="13" spans="1:24" s="35" customFormat="1" x14ac:dyDescent="0.25">
      <c r="F13" s="36"/>
      <c r="H13" s="37" t="s">
        <v>59</v>
      </c>
      <c r="I13" s="39" t="str">
        <f>_xll.EVDES(H13,$I$59)</f>
        <v>Investointikulut</v>
      </c>
      <c r="J13" s="32">
        <f>_xll.EVGET($I$59,$J$78,$J$79,$H13,"TOT",$C$90,"TILAUS:A")</f>
        <v>0</v>
      </c>
      <c r="K13" s="32">
        <f>_xll.EVGET($I$59,$K$78,$K$79,$H13,"TOT",$C$90,"TILAUS:A")</f>
        <v>0</v>
      </c>
      <c r="L13" s="32">
        <f>_xll.EVGET($I$59,$L$78,$L$79,$H13,"TOT",$C$90,"TILAUS:A")</f>
        <v>0</v>
      </c>
      <c r="M13" s="30">
        <f>K13+L13</f>
        <v>0</v>
      </c>
      <c r="N13" s="32">
        <f>_xll.EVGET($I$59,$N$78,$N$79,$H13,$C$90,"TILAUS:A")</f>
        <v>0</v>
      </c>
      <c r="O13" s="32">
        <f>_xll.EVGET($I$59,$O$78,$O$79,$H13,$C$90,"TILAUS:A")</f>
        <v>0</v>
      </c>
      <c r="P13" s="32">
        <f>_xll.EVGET($I$59,$P$78,$P$79,$H13,$C$90,"TILAUS:A")</f>
        <v>0</v>
      </c>
      <c r="Q13" s="32">
        <f>P13+O13</f>
        <v>0</v>
      </c>
      <c r="R13" s="32">
        <f>_xll.EVGET($I$59,$R$78,$R$79,$H13,$C$90,"TILAUS:A")</f>
        <v>0</v>
      </c>
      <c r="S13" s="32">
        <f>_xll.EVGET($I$59,$S$78,$S$79,$H13,$C$90,"TILAUS:A")</f>
        <v>0</v>
      </c>
      <c r="T13" s="32">
        <f>_xll.EVGET($I$59,$T$78,$T$79,$H13,$C$90,"TILAUS:A")</f>
        <v>0</v>
      </c>
    </row>
    <row r="14" spans="1:24" s="35" customFormat="1" x14ac:dyDescent="0.25">
      <c r="F14" s="36"/>
      <c r="H14" s="37" t="s">
        <v>86</v>
      </c>
      <c r="I14" s="39" t="str">
        <f>_xll.EVDES(H14,$I$59)</f>
        <v>Nettoinvestoinnit</v>
      </c>
      <c r="J14" s="29">
        <f>J12-J13</f>
        <v>0</v>
      </c>
      <c r="K14" s="29">
        <f>K12-K13</f>
        <v>0</v>
      </c>
      <c r="L14" s="29">
        <f>L12-L13</f>
        <v>0</v>
      </c>
      <c r="M14" s="31">
        <f>K14+L14</f>
        <v>0</v>
      </c>
      <c r="N14" s="29">
        <f>N12-N13</f>
        <v>0</v>
      </c>
      <c r="O14" s="29">
        <f>O12-O13</f>
        <v>0</v>
      </c>
      <c r="P14" s="29">
        <f>P12-P13</f>
        <v>0</v>
      </c>
      <c r="Q14" s="29">
        <f>P14+O14</f>
        <v>0</v>
      </c>
      <c r="R14" s="29">
        <f>R12-R13</f>
        <v>0</v>
      </c>
      <c r="S14" s="29">
        <f>S12-S13</f>
        <v>0</v>
      </c>
      <c r="T14" s="29">
        <f>T12-T13</f>
        <v>0</v>
      </c>
    </row>
    <row r="15" spans="1:24" s="35" customFormat="1" x14ac:dyDescent="0.25">
      <c r="F15" s="36"/>
      <c r="H15" s="37"/>
      <c r="I15" s="39" t="s">
        <v>74</v>
      </c>
      <c r="J15" s="32"/>
      <c r="K15" s="32"/>
      <c r="L15" s="32"/>
      <c r="M15" s="30"/>
      <c r="N15" s="29"/>
      <c r="O15" s="32"/>
      <c r="P15" s="32"/>
      <c r="Q15" s="32"/>
      <c r="R15" s="32"/>
      <c r="S15" s="32"/>
      <c r="T15" s="32"/>
    </row>
    <row r="16" spans="1:24" s="35" customFormat="1" x14ac:dyDescent="0.25">
      <c r="F16" s="36"/>
      <c r="H16" s="37" t="s">
        <v>90</v>
      </c>
      <c r="I16" s="39" t="str">
        <f>_xll.EVDES(H16,$I$59)</f>
        <v>Myyntituotot</v>
      </c>
      <c r="J16" s="32">
        <f>_xll.EVGET($I$59,$J$78,$J$79,$H16,"TOT")</f>
        <v>0</v>
      </c>
      <c r="K16" s="32">
        <f>_xll.EVGET($I$59,$K$78,$K$79,$H16,"TOT")</f>
        <v>0</v>
      </c>
      <c r="L16" s="32">
        <f>_xll.EVGET($I$59,$L$78,$L$79,$H16,"TOT")</f>
        <v>0</v>
      </c>
      <c r="M16" s="30">
        <f>K16+L16</f>
        <v>0</v>
      </c>
      <c r="N16" s="32"/>
      <c r="O16" s="32"/>
      <c r="P16" s="32"/>
      <c r="Q16" s="32">
        <f>P16+O16</f>
        <v>0</v>
      </c>
      <c r="R16" s="32"/>
      <c r="S16" s="32"/>
      <c r="T16" s="32"/>
    </row>
    <row r="17" spans="6:21" s="35" customFormat="1" x14ac:dyDescent="0.25">
      <c r="F17" s="36"/>
      <c r="H17" s="37" t="s">
        <v>91</v>
      </c>
      <c r="I17" s="39" t="str">
        <f>_xll.EVDES(H17,$I$59)</f>
        <v>Maksutuotot</v>
      </c>
      <c r="J17" s="32">
        <f>_xll.EVGET($I$59,$J$78,$J$79,$H17,"TOT")</f>
        <v>0</v>
      </c>
      <c r="K17" s="32">
        <f>_xll.EVGET($I$59,$K$78,$K$79,$H17,"TOT")</f>
        <v>0</v>
      </c>
      <c r="L17" s="32">
        <f>_xll.EVGET($I$59,$L$78,$L$79,$H17,"TOT")</f>
        <v>0</v>
      </c>
      <c r="M17" s="30">
        <f>K17+L17</f>
        <v>0</v>
      </c>
      <c r="N17" s="32"/>
      <c r="O17" s="32"/>
      <c r="P17" s="32"/>
      <c r="Q17" s="32">
        <f t="shared" ref="Q17:Q22" si="2">P17+O17</f>
        <v>0</v>
      </c>
      <c r="R17" s="32"/>
      <c r="S17" s="32"/>
      <c r="T17" s="32"/>
    </row>
    <row r="18" spans="6:21" s="35" customFormat="1" x14ac:dyDescent="0.25">
      <c r="F18" s="36"/>
      <c r="H18" s="37" t="s">
        <v>92</v>
      </c>
      <c r="I18" s="39" t="str">
        <f>_xll.EVDES(H18,$I$59)</f>
        <v>Tuet ja avustukset</v>
      </c>
      <c r="J18" s="32">
        <f>_xll.EVGET($I$59,$J$78,$J$79,$H18,"TOT")</f>
        <v>0</v>
      </c>
      <c r="K18" s="32">
        <f>_xll.EVGET($I$59,$K$78,$K$79,$H18,"TOT")</f>
        <v>0</v>
      </c>
      <c r="L18" s="32">
        <f>_xll.EVGET($I$59,$L$78,$L$79,$H18,"TOT")</f>
        <v>0</v>
      </c>
      <c r="M18" s="30">
        <f>K18+L18</f>
        <v>0</v>
      </c>
      <c r="N18" s="32"/>
      <c r="O18" s="32"/>
      <c r="P18" s="32"/>
      <c r="Q18" s="32">
        <f t="shared" si="2"/>
        <v>0</v>
      </c>
      <c r="R18" s="32"/>
      <c r="S18" s="32"/>
      <c r="T18" s="32"/>
    </row>
    <row r="19" spans="6:21" s="35" customFormat="1" x14ac:dyDescent="0.25">
      <c r="F19" s="36"/>
      <c r="H19" s="37" t="s">
        <v>93</v>
      </c>
      <c r="I19" s="39" t="str">
        <f>_xll.EVDES(H19,$I$59)</f>
        <v>Vuokratuotot</v>
      </c>
      <c r="J19" s="32">
        <f>_xll.EVGET($I$59,$J$78,$J$79,$H19,"TOT")</f>
        <v>0</v>
      </c>
      <c r="K19" s="32">
        <f>_xll.EVGET($I$59,$K$78,$K$79,$H19,"TOT")</f>
        <v>0</v>
      </c>
      <c r="L19" s="32">
        <f>_xll.EVGET($I$59,$L$78,$L$79,$H19,"TOT")</f>
        <v>0</v>
      </c>
      <c r="M19" s="30">
        <f>K19+L19</f>
        <v>0</v>
      </c>
      <c r="N19" s="32"/>
      <c r="O19" s="32"/>
      <c r="P19" s="32"/>
      <c r="Q19" s="32">
        <f t="shared" si="2"/>
        <v>0</v>
      </c>
      <c r="R19" s="32"/>
      <c r="S19" s="32"/>
      <c r="T19" s="32"/>
    </row>
    <row r="20" spans="6:21" s="35" customFormat="1" x14ac:dyDescent="0.25">
      <c r="F20" s="36"/>
      <c r="H20" s="37" t="s">
        <v>94</v>
      </c>
      <c r="I20" s="39" t="str">
        <f>_xll.EVDES(H20,$I$59)</f>
        <v>Muut toimintatuotot</v>
      </c>
      <c r="J20" s="32">
        <f>_xll.EVGET($I$59,$J$78,$J$79,$H20,"TOT")</f>
        <v>0</v>
      </c>
      <c r="K20" s="32">
        <f>_xll.EVGET($I$59,$K$78,$K$79,$H20,"TOT")</f>
        <v>0</v>
      </c>
      <c r="L20" s="32">
        <f>_xll.EVGET($I$59,$L$78,$L$79,$H20,"TOT")</f>
        <v>0</v>
      </c>
      <c r="M20" s="30">
        <f>K20+L20</f>
        <v>0</v>
      </c>
      <c r="N20" s="32"/>
      <c r="O20" s="32"/>
      <c r="P20" s="32"/>
      <c r="Q20" s="32">
        <f t="shared" si="2"/>
        <v>0</v>
      </c>
      <c r="R20" s="32"/>
      <c r="S20" s="32"/>
      <c r="T20" s="32"/>
    </row>
    <row r="21" spans="6:21" s="35" customFormat="1" x14ac:dyDescent="0.25">
      <c r="F21" s="36"/>
      <c r="H21" s="37"/>
      <c r="I21" s="39" t="s">
        <v>74</v>
      </c>
      <c r="J21" s="32"/>
      <c r="K21" s="32"/>
      <c r="L21" s="32"/>
      <c r="M21" s="30"/>
      <c r="N21" s="32"/>
      <c r="O21" s="32"/>
      <c r="P21" s="32"/>
      <c r="Q21" s="32">
        <f t="shared" si="2"/>
        <v>0</v>
      </c>
      <c r="R21" s="32"/>
      <c r="S21" s="32"/>
      <c r="T21" s="32"/>
    </row>
    <row r="22" spans="6:21" ht="15.75" thickBot="1" x14ac:dyDescent="0.3">
      <c r="H22" s="16"/>
      <c r="I22" s="62" t="s">
        <v>78</v>
      </c>
      <c r="J22" s="44">
        <f>J16+J17+J18+J19+J20</f>
        <v>0</v>
      </c>
      <c r="K22" s="44">
        <f>K16+K17+K18+K19+K20</f>
        <v>0</v>
      </c>
      <c r="L22" s="44">
        <f>L16+L17+L18+L19+L20</f>
        <v>0</v>
      </c>
      <c r="M22" s="45">
        <f>K22+L22</f>
        <v>0</v>
      </c>
      <c r="N22" s="44">
        <f t="shared" ref="N22:T22" si="3">N16+N17+N18+N19+N20</f>
        <v>0</v>
      </c>
      <c r="O22" s="44">
        <f t="shared" si="3"/>
        <v>0</v>
      </c>
      <c r="P22" s="44">
        <f t="shared" si="3"/>
        <v>0</v>
      </c>
      <c r="Q22" s="44">
        <f t="shared" si="2"/>
        <v>0</v>
      </c>
      <c r="R22" s="44">
        <f t="shared" si="3"/>
        <v>0</v>
      </c>
      <c r="S22" s="44">
        <f t="shared" si="3"/>
        <v>0</v>
      </c>
      <c r="T22" s="44">
        <f t="shared" si="3"/>
        <v>0</v>
      </c>
      <c r="U22" s="35"/>
    </row>
    <row r="23" spans="6:21" s="35" customFormat="1" ht="15.75" thickTop="1" x14ac:dyDescent="0.25">
      <c r="F23" s="36"/>
      <c r="H23" s="40"/>
      <c r="I23" s="39" t="s">
        <v>74</v>
      </c>
      <c r="J23" s="32"/>
      <c r="K23" s="32"/>
      <c r="L23" s="32"/>
      <c r="M23" s="30"/>
      <c r="N23" s="32"/>
      <c r="O23" s="32"/>
      <c r="P23" s="32"/>
      <c r="Q23" s="32"/>
      <c r="R23" s="32"/>
      <c r="S23" s="32"/>
      <c r="T23" s="32"/>
    </row>
    <row r="24" spans="6:21" x14ac:dyDescent="0.25">
      <c r="H24" s="17" t="s">
        <v>95</v>
      </c>
      <c r="I24" s="39" t="str">
        <f>_xll.EVDES(H24,$I$59)</f>
        <v>Valmistus omaan kayttoon</v>
      </c>
      <c r="J24" s="32">
        <f>_xll.EVGET($I$59,$J$78,$J$79,$H24,"TOT")</f>
        <v>0</v>
      </c>
      <c r="K24" s="32">
        <f>_xll.EVGET($I$59,$K$78,$K$79,$H24,"TOT")</f>
        <v>0</v>
      </c>
      <c r="L24" s="32">
        <f>_xll.EVGET($I$59,$L$78,$L$79,$H24,"TOT")</f>
        <v>0</v>
      </c>
      <c r="M24" s="32">
        <f>K24+J24</f>
        <v>0</v>
      </c>
      <c r="N24" s="32"/>
      <c r="O24" s="32"/>
      <c r="P24" s="32"/>
      <c r="Q24" s="32">
        <f>P24+O24</f>
        <v>0</v>
      </c>
      <c r="R24" s="32"/>
      <c r="S24" s="32"/>
      <c r="T24" s="32"/>
      <c r="U24" s="35"/>
    </row>
    <row r="25" spans="6:21" s="35" customFormat="1" x14ac:dyDescent="0.25">
      <c r="F25" s="36"/>
      <c r="H25" s="40"/>
      <c r="I25" s="73" t="s">
        <v>74</v>
      </c>
      <c r="J25" s="32"/>
      <c r="K25" s="32"/>
      <c r="L25" s="32"/>
      <c r="M25" s="30"/>
      <c r="N25" s="32"/>
      <c r="O25" s="32"/>
      <c r="P25" s="32"/>
      <c r="Q25" s="32"/>
      <c r="R25" s="32"/>
      <c r="S25" s="32"/>
      <c r="T25" s="32"/>
    </row>
    <row r="26" spans="6:21" s="35" customFormat="1" x14ac:dyDescent="0.25">
      <c r="F26" s="36"/>
      <c r="H26" s="37" t="s">
        <v>96</v>
      </c>
      <c r="I26" s="39" t="str">
        <f>_xll.EVDES(H26,$I$59)</f>
        <v>Henkilostokulut</v>
      </c>
      <c r="J26" s="32">
        <f>J27+J29</f>
        <v>0</v>
      </c>
      <c r="K26" s="32">
        <f>K27+K29</f>
        <v>0</v>
      </c>
      <c r="L26" s="32">
        <f>L27+L29</f>
        <v>0</v>
      </c>
      <c r="M26" s="30">
        <f>K26+J26</f>
        <v>0</v>
      </c>
      <c r="N26" s="32">
        <f>N27+N29</f>
        <v>0</v>
      </c>
      <c r="O26" s="32">
        <f>O27+O29</f>
        <v>0</v>
      </c>
      <c r="P26" s="32">
        <f>P27+P29</f>
        <v>0</v>
      </c>
      <c r="Q26" s="32">
        <f>P26+O26</f>
        <v>0</v>
      </c>
      <c r="R26" s="32">
        <f>R27+R29</f>
        <v>0</v>
      </c>
      <c r="S26" s="32">
        <f>S27+S29</f>
        <v>0</v>
      </c>
      <c r="T26" s="32">
        <f>T27+T29</f>
        <v>0</v>
      </c>
    </row>
    <row r="27" spans="6:21" s="35" customFormat="1" x14ac:dyDescent="0.25">
      <c r="F27" s="36"/>
      <c r="I27" s="41" t="s">
        <v>119</v>
      </c>
      <c r="J27" s="32">
        <f>_xll.EVGET($I$59,$J$78,$J$79,$H28,"TOT")+J32</f>
        <v>0</v>
      </c>
      <c r="K27" s="32">
        <f>_xll.EVGET($I$59,$K$78,$K$79,$H28,"TOT")+K32</f>
        <v>0</v>
      </c>
      <c r="L27" s="32">
        <f>_xll.EVGET($I$59,$L$78,$L$79,$H28,"TOT")+L32</f>
        <v>0</v>
      </c>
      <c r="M27" s="30">
        <f>K27+L27</f>
        <v>0</v>
      </c>
      <c r="N27" s="32">
        <f>_xll.EVGET($I$59,$N$78,$N$79,$H28)+N32</f>
        <v>0</v>
      </c>
      <c r="O27" s="32">
        <f>_xll.EVGET($I$59,$O$78,$O$79,$H28)+O32</f>
        <v>0</v>
      </c>
      <c r="P27" s="32">
        <f>_xll.EVGET($I$59,$P$78,$P$79,$H28)+P32</f>
        <v>0</v>
      </c>
      <c r="Q27" s="32">
        <f t="shared" ref="Q27:Q40" si="4">P27+O27</f>
        <v>0</v>
      </c>
      <c r="R27" s="32">
        <f>+R28+R32</f>
        <v>0</v>
      </c>
      <c r="S27" s="32">
        <f>+S28+S32</f>
        <v>0</v>
      </c>
      <c r="T27" s="32">
        <f>+T28+T32</f>
        <v>0</v>
      </c>
    </row>
    <row r="28" spans="6:21" s="35" customFormat="1" x14ac:dyDescent="0.25">
      <c r="F28" s="36"/>
      <c r="H28" s="37" t="s">
        <v>118</v>
      </c>
      <c r="I28" s="41" t="str">
        <f>_xll.EVDES(H28,$I$59)</f>
        <v>Palkat ja palkkiot</v>
      </c>
      <c r="J28" s="32"/>
      <c r="K28" s="32"/>
      <c r="L28" s="32"/>
      <c r="M28" s="30"/>
      <c r="N28" s="32"/>
      <c r="O28" s="32"/>
      <c r="P28" s="32"/>
      <c r="Q28" s="32"/>
      <c r="R28" s="32"/>
      <c r="S28" s="32"/>
      <c r="T28" s="32"/>
    </row>
    <row r="29" spans="6:21" s="35" customFormat="1" x14ac:dyDescent="0.25">
      <c r="F29" s="36"/>
      <c r="I29" s="41" t="s">
        <v>77</v>
      </c>
      <c r="J29" s="32">
        <f>J30+J31</f>
        <v>0</v>
      </c>
      <c r="K29" s="32">
        <f>K30+K31</f>
        <v>0</v>
      </c>
      <c r="L29" s="32">
        <f>L30+L31</f>
        <v>0</v>
      </c>
      <c r="M29" s="30">
        <f t="shared" ref="M29:M40" si="5">K29+L29</f>
        <v>0</v>
      </c>
      <c r="N29" s="32">
        <f>N30+N31</f>
        <v>0</v>
      </c>
      <c r="O29" s="32">
        <f>O30+O31</f>
        <v>0</v>
      </c>
      <c r="P29" s="32">
        <f>P30+P31</f>
        <v>0</v>
      </c>
      <c r="Q29" s="32">
        <f>Q30+Q31+Q32</f>
        <v>0</v>
      </c>
      <c r="R29" s="32">
        <f>R30+R31</f>
        <v>0</v>
      </c>
      <c r="S29" s="32">
        <f>S30+S31</f>
        <v>0</v>
      </c>
      <c r="T29" s="32">
        <f>T30+T31</f>
        <v>0</v>
      </c>
    </row>
    <row r="30" spans="6:21" s="35" customFormat="1" x14ac:dyDescent="0.25">
      <c r="F30" s="36"/>
      <c r="H30" s="37" t="s">
        <v>97</v>
      </c>
      <c r="I30" s="41" t="str">
        <f>_xll.EVDES(H30,$I$59)</f>
        <v>Elakekulut</v>
      </c>
      <c r="J30" s="32">
        <f>_xll.EVGET($I$59,$J$78,$J$79,$H30,"TOT")</f>
        <v>0</v>
      </c>
      <c r="K30" s="32">
        <f>_xll.EVGET($I$59,$K$78,$K$79,$H30,"TOT")</f>
        <v>0</v>
      </c>
      <c r="L30" s="32">
        <f>_xll.EVGET($I$59,$L$78,$L$79,$H30,"TOT")</f>
        <v>0</v>
      </c>
      <c r="M30" s="30">
        <f t="shared" si="5"/>
        <v>0</v>
      </c>
      <c r="N30" s="32"/>
      <c r="O30" s="32"/>
      <c r="P30" s="32"/>
      <c r="Q30" s="32">
        <f>Q31+Q32-Q33</f>
        <v>0</v>
      </c>
      <c r="R30" s="32"/>
      <c r="S30" s="32"/>
      <c r="T30" s="32"/>
    </row>
    <row r="31" spans="6:21" s="35" customFormat="1" x14ac:dyDescent="0.25">
      <c r="F31" s="36"/>
      <c r="H31" s="37" t="s">
        <v>98</v>
      </c>
      <c r="I31" s="41" t="str">
        <f>_xll.EVDES(H31,$I$59)</f>
        <v>Muut henkilostosivukulut</v>
      </c>
      <c r="J31" s="32">
        <f>_xll.EVGET($I$59,$J$78,$J$79,$H31,"TOT")</f>
        <v>0</v>
      </c>
      <c r="K31" s="32">
        <f>_xll.EVGET($I$59,$K$78,$K$79,$H31,"TOT")</f>
        <v>0</v>
      </c>
      <c r="L31" s="32">
        <f>_xll.EVGET($I$59,$L$78,$L$79,$H31,"TOT")</f>
        <v>0</v>
      </c>
      <c r="M31" s="30">
        <f t="shared" si="5"/>
        <v>0</v>
      </c>
      <c r="N31" s="32"/>
      <c r="O31" s="32"/>
      <c r="P31" s="32"/>
      <c r="Q31" s="32">
        <f>Q32+Q33-Q34</f>
        <v>0</v>
      </c>
      <c r="R31" s="32"/>
      <c r="S31" s="32"/>
      <c r="T31" s="32"/>
    </row>
    <row r="32" spans="6:21" s="35" customFormat="1" x14ac:dyDescent="0.25">
      <c r="F32" s="36"/>
      <c r="H32" s="37" t="s">
        <v>99</v>
      </c>
      <c r="I32" s="41" t="str">
        <f>_xll.EVDES(H32,$I$59)</f>
        <v>Hlostokorvaukset &amp; -menojen korjauserat</v>
      </c>
      <c r="J32" s="32">
        <f>_xll.EVGET($I$59,$J$78,$J$79,$H32,"TOT")</f>
        <v>0</v>
      </c>
      <c r="K32" s="32">
        <f>_xll.EVGET($I$59,$K$78,$K$79,$H32,"TOT")</f>
        <v>0</v>
      </c>
      <c r="L32" s="32">
        <f>_xll.EVGET($I$59,$L$78,$L$79,$H32,"TOT")</f>
        <v>0</v>
      </c>
      <c r="M32" s="30">
        <f t="shared" si="5"/>
        <v>0</v>
      </c>
      <c r="N32" s="32"/>
      <c r="O32" s="32"/>
      <c r="P32" s="32"/>
      <c r="Q32" s="32">
        <f>Q33+Q34-Q35</f>
        <v>0</v>
      </c>
      <c r="R32" s="32"/>
      <c r="S32" s="32"/>
      <c r="T32" s="32"/>
    </row>
    <row r="33" spans="6:21" s="35" customFormat="1" x14ac:dyDescent="0.25">
      <c r="F33" s="36"/>
      <c r="H33" s="37"/>
      <c r="I33" s="41" t="s">
        <v>74</v>
      </c>
      <c r="J33" s="32"/>
      <c r="K33" s="32"/>
      <c r="L33" s="32"/>
      <c r="M33" s="30"/>
      <c r="N33" s="32"/>
      <c r="O33" s="32"/>
      <c r="P33" s="32"/>
      <c r="Q33" s="32"/>
      <c r="R33" s="32"/>
      <c r="S33" s="32"/>
      <c r="T33" s="32"/>
    </row>
    <row r="34" spans="6:21" s="35" customFormat="1" x14ac:dyDescent="0.25">
      <c r="F34" s="36"/>
      <c r="H34" s="37" t="s">
        <v>100</v>
      </c>
      <c r="I34" s="39" t="str">
        <f>_xll.EVDES(H34,$I$59)</f>
        <v>Palvelujen ostot</v>
      </c>
      <c r="J34" s="32">
        <f>_xll.EVGET($I$59,$J$78,$J$79,$H34,"TOT")</f>
        <v>0</v>
      </c>
      <c r="K34" s="32">
        <f>_xll.EVGET($I$59,$K$78,$K$79,$H34,"TOT")</f>
        <v>0</v>
      </c>
      <c r="L34" s="32">
        <f>_xll.EVGET($I$59,$L$78,$L$79,$H34,"TOT")</f>
        <v>0</v>
      </c>
      <c r="M34" s="30">
        <f t="shared" si="5"/>
        <v>0</v>
      </c>
      <c r="N34" s="32"/>
      <c r="O34" s="32"/>
      <c r="P34" s="32"/>
      <c r="Q34" s="32">
        <f t="shared" si="4"/>
        <v>0</v>
      </c>
      <c r="R34" s="32"/>
      <c r="S34" s="32"/>
      <c r="T34" s="32"/>
    </row>
    <row r="35" spans="6:21" s="35" customFormat="1" x14ac:dyDescent="0.25">
      <c r="F35" s="36"/>
      <c r="H35" s="37" t="s">
        <v>101</v>
      </c>
      <c r="I35" s="41" t="str">
        <f>_xll.EVDES(H35,$I$59)</f>
        <v>Asiakaspalvelujen ostot</v>
      </c>
      <c r="J35" s="32">
        <f>_xll.EVGET($I$59,$J$78,$J$79,$H35,"TOT")</f>
        <v>0</v>
      </c>
      <c r="K35" s="32">
        <f>_xll.EVGET($I$59,$K$78,$K$79,$H35,"TOT")</f>
        <v>0</v>
      </c>
      <c r="L35" s="32">
        <f>_xll.EVGET($I$59,$L$78,$L$79,$H35,"TOT")</f>
        <v>0</v>
      </c>
      <c r="M35" s="30">
        <f t="shared" si="5"/>
        <v>0</v>
      </c>
      <c r="N35" s="32"/>
      <c r="O35" s="32"/>
      <c r="P35" s="32"/>
      <c r="Q35" s="32">
        <f t="shared" si="4"/>
        <v>0</v>
      </c>
      <c r="R35" s="32"/>
      <c r="S35" s="32"/>
      <c r="T35" s="32"/>
    </row>
    <row r="36" spans="6:21" s="35" customFormat="1" x14ac:dyDescent="0.25">
      <c r="F36" s="36"/>
      <c r="H36" s="37" t="s">
        <v>102</v>
      </c>
      <c r="I36" s="41" t="str">
        <f>_xll.EVDES(H36,$I$59)</f>
        <v>Muiden palvelujen ostot</v>
      </c>
      <c r="J36" s="32">
        <f>_xll.EVGET($I$59,$J$78,$J$79,$H36,"TOT")</f>
        <v>0</v>
      </c>
      <c r="K36" s="32">
        <f>_xll.EVGET($I$59,$K$78,$K$79,$H36,"TOT")</f>
        <v>0</v>
      </c>
      <c r="L36" s="32">
        <f>_xll.EVGET($I$59,$L$78,$L$79,$H36,"TOT")</f>
        <v>0</v>
      </c>
      <c r="M36" s="30">
        <f t="shared" si="5"/>
        <v>0</v>
      </c>
      <c r="N36" s="32"/>
      <c r="O36" s="32"/>
      <c r="P36" s="32"/>
      <c r="Q36" s="32">
        <f t="shared" si="4"/>
        <v>0</v>
      </c>
      <c r="R36" s="32"/>
      <c r="S36" s="32"/>
      <c r="T36" s="32"/>
    </row>
    <row r="37" spans="6:21" s="35" customFormat="1" x14ac:dyDescent="0.25">
      <c r="F37" s="36"/>
      <c r="H37" s="37" t="s">
        <v>103</v>
      </c>
      <c r="I37" s="39" t="str">
        <f>_xll.EVDES(H37,$I$59)</f>
        <v>Aineet, tarvikkeet ja tavarat</v>
      </c>
      <c r="J37" s="32">
        <f>_xll.EVGET($I$59,$J$78,$J$79,$H37,"TOT")</f>
        <v>0</v>
      </c>
      <c r="K37" s="32">
        <f>_xll.EVGET($I$59,$K$78,$K$79,$H37,"TOT")</f>
        <v>0</v>
      </c>
      <c r="L37" s="32">
        <f>_xll.EVGET($I$59,$L$78,$L$79,$H37,"TOT")</f>
        <v>0</v>
      </c>
      <c r="M37" s="30">
        <f t="shared" si="5"/>
        <v>0</v>
      </c>
      <c r="N37" s="32"/>
      <c r="O37" s="32"/>
      <c r="P37" s="32"/>
      <c r="Q37" s="32">
        <f t="shared" si="4"/>
        <v>0</v>
      </c>
      <c r="R37" s="32"/>
      <c r="S37" s="32"/>
      <c r="T37" s="32"/>
    </row>
    <row r="38" spans="6:21" s="35" customFormat="1" x14ac:dyDescent="0.25">
      <c r="F38" s="36"/>
      <c r="H38" s="37" t="s">
        <v>104</v>
      </c>
      <c r="I38" s="39" t="str">
        <f>_xll.EVDES(H38,$I$59)</f>
        <v>Avustukset</v>
      </c>
      <c r="J38" s="32">
        <f>_xll.EVGET($I$59,$J$78,$J$79,$H38,"TOT")</f>
        <v>0</v>
      </c>
      <c r="K38" s="32">
        <f>_xll.EVGET($I$59,$K$78,$K$79,$H38,"TOT")</f>
        <v>0</v>
      </c>
      <c r="L38" s="32">
        <f>_xll.EVGET($I$59,$L$78,$L$79,$H38,"TOT")</f>
        <v>0</v>
      </c>
      <c r="M38" s="30">
        <f t="shared" si="5"/>
        <v>0</v>
      </c>
      <c r="N38" s="32"/>
      <c r="O38" s="32"/>
      <c r="P38" s="32"/>
      <c r="Q38" s="32">
        <f t="shared" si="4"/>
        <v>0</v>
      </c>
      <c r="R38" s="32"/>
      <c r="S38" s="32"/>
      <c r="T38" s="32"/>
    </row>
    <row r="39" spans="6:21" s="35" customFormat="1" x14ac:dyDescent="0.25">
      <c r="F39" s="36"/>
      <c r="H39" s="37" t="s">
        <v>105</v>
      </c>
      <c r="I39" s="39" t="str">
        <f>_xll.EVDES(H39,$I$59)</f>
        <v>Vuokrat</v>
      </c>
      <c r="J39" s="32">
        <f>_xll.EVGET($I$59,$J$78,$J$79,$H39,"TOT")</f>
        <v>0</v>
      </c>
      <c r="K39" s="32">
        <f>_xll.EVGET($I$59,$K$78,$K$79,$H39,"TOT")</f>
        <v>0</v>
      </c>
      <c r="L39" s="32">
        <f>_xll.EVGET($I$59,$L$78,$L$79,$H39,"TOT")</f>
        <v>0</v>
      </c>
      <c r="M39" s="30">
        <f t="shared" si="5"/>
        <v>0</v>
      </c>
      <c r="N39" s="32"/>
      <c r="O39" s="32"/>
      <c r="P39" s="32"/>
      <c r="Q39" s="32">
        <f t="shared" si="4"/>
        <v>0</v>
      </c>
      <c r="R39" s="32"/>
      <c r="S39" s="32"/>
      <c r="T39" s="32"/>
    </row>
    <row r="40" spans="6:21" s="35" customFormat="1" x14ac:dyDescent="0.25">
      <c r="F40" s="36"/>
      <c r="H40" s="37" t="s">
        <v>106</v>
      </c>
      <c r="I40" s="39" t="str">
        <f>_xll.EVDES(H40,$I$59)</f>
        <v>Muut toimintakulut</v>
      </c>
      <c r="J40" s="32">
        <f>_xll.EVGET($I$59,$J$78,$J$79,$H40,"TOT")</f>
        <v>0</v>
      </c>
      <c r="K40" s="32">
        <f>_xll.EVGET($I$59,$K$78,$K$79,$H40,"TOT")</f>
        <v>0</v>
      </c>
      <c r="L40" s="32">
        <f>_xll.EVGET($I$59,$L$78,$L$79,$H40,"TOT")</f>
        <v>0</v>
      </c>
      <c r="M40" s="30">
        <f t="shared" si="5"/>
        <v>0</v>
      </c>
      <c r="N40" s="32"/>
      <c r="O40" s="32"/>
      <c r="P40" s="32"/>
      <c r="Q40" s="32">
        <f t="shared" si="4"/>
        <v>0</v>
      </c>
      <c r="R40" s="32"/>
      <c r="S40" s="32"/>
      <c r="T40" s="32"/>
    </row>
    <row r="41" spans="6:21" s="35" customFormat="1" x14ac:dyDescent="0.25">
      <c r="F41" s="36"/>
      <c r="H41" s="37"/>
      <c r="I41" s="42" t="s">
        <v>74</v>
      </c>
      <c r="J41" s="32"/>
      <c r="K41" s="32"/>
      <c r="L41" s="32"/>
      <c r="M41" s="30"/>
      <c r="N41" s="32"/>
      <c r="O41" s="32"/>
      <c r="P41" s="32"/>
      <c r="Q41" s="32"/>
      <c r="R41" s="32"/>
      <c r="S41" s="32"/>
      <c r="T41" s="32"/>
    </row>
    <row r="42" spans="6:21" ht="15.75" thickBot="1" x14ac:dyDescent="0.3">
      <c r="H42" s="16" t="s">
        <v>60</v>
      </c>
      <c r="I42" s="46" t="str">
        <f>_xll.EVDES(H42,$I$59)</f>
        <v>Toimintakulut</v>
      </c>
      <c r="J42" s="44">
        <f t="shared" ref="J42:T42" si="6">J26+J34+J37+J38+J39+J40</f>
        <v>0</v>
      </c>
      <c r="K42" s="44">
        <f t="shared" si="6"/>
        <v>0</v>
      </c>
      <c r="L42" s="44">
        <f t="shared" si="6"/>
        <v>0</v>
      </c>
      <c r="M42" s="44">
        <f t="shared" si="6"/>
        <v>0</v>
      </c>
      <c r="N42" s="44">
        <f t="shared" si="6"/>
        <v>0</v>
      </c>
      <c r="O42" s="44">
        <f t="shared" si="6"/>
        <v>0</v>
      </c>
      <c r="P42" s="44">
        <f t="shared" si="6"/>
        <v>0</v>
      </c>
      <c r="Q42" s="44">
        <f t="shared" si="6"/>
        <v>0</v>
      </c>
      <c r="R42" s="44">
        <f t="shared" si="6"/>
        <v>0</v>
      </c>
      <c r="S42" s="44">
        <f t="shared" si="6"/>
        <v>0</v>
      </c>
      <c r="T42" s="44">
        <f t="shared" si="6"/>
        <v>0</v>
      </c>
      <c r="U42" s="35"/>
    </row>
    <row r="43" spans="6:21" s="35" customFormat="1" ht="15.75" thickTop="1" x14ac:dyDescent="0.25">
      <c r="F43" s="36"/>
      <c r="H43" s="37"/>
      <c r="I43" s="39" t="s">
        <v>74</v>
      </c>
      <c r="J43" s="32"/>
      <c r="K43" s="32"/>
      <c r="L43" s="32"/>
      <c r="M43" s="30" t="s">
        <v>74</v>
      </c>
      <c r="N43" s="29"/>
      <c r="O43" s="32"/>
      <c r="P43" s="29"/>
      <c r="Q43" s="29"/>
      <c r="R43" s="32"/>
      <c r="S43" s="32"/>
      <c r="T43" s="32"/>
    </row>
    <row r="44" spans="6:21" ht="15.75" thickBot="1" x14ac:dyDescent="0.3">
      <c r="H44" s="16" t="s">
        <v>61</v>
      </c>
      <c r="I44" s="46" t="str">
        <f>_xll.EVDES(H44,$I$59)</f>
        <v>Toimintakate</v>
      </c>
      <c r="J44" s="44">
        <f t="shared" ref="J44:T44" si="7">J22+J24-J42</f>
        <v>0</v>
      </c>
      <c r="K44" s="44">
        <f t="shared" si="7"/>
        <v>0</v>
      </c>
      <c r="L44" s="44">
        <f t="shared" si="7"/>
        <v>0</v>
      </c>
      <c r="M44" s="44">
        <f t="shared" si="7"/>
        <v>0</v>
      </c>
      <c r="N44" s="44">
        <f t="shared" si="7"/>
        <v>0</v>
      </c>
      <c r="O44" s="44">
        <f t="shared" si="7"/>
        <v>0</v>
      </c>
      <c r="P44" s="44">
        <f t="shared" si="7"/>
        <v>0</v>
      </c>
      <c r="Q44" s="44">
        <f t="shared" si="7"/>
        <v>0</v>
      </c>
      <c r="R44" s="44">
        <f t="shared" si="7"/>
        <v>0</v>
      </c>
      <c r="S44" s="44">
        <f t="shared" si="7"/>
        <v>0</v>
      </c>
      <c r="T44" s="44">
        <f t="shared" si="7"/>
        <v>0</v>
      </c>
      <c r="U44" s="35"/>
    </row>
    <row r="45" spans="6:21" s="35" customFormat="1" ht="15.75" thickTop="1" x14ac:dyDescent="0.25">
      <c r="F45" s="36"/>
      <c r="H45" s="37"/>
      <c r="I45" s="73" t="s">
        <v>74</v>
      </c>
      <c r="J45" s="32"/>
      <c r="K45" s="32"/>
      <c r="L45" s="32"/>
      <c r="M45" s="30"/>
      <c r="N45" s="32"/>
      <c r="O45" s="32"/>
      <c r="P45" s="32"/>
      <c r="Q45" s="32"/>
      <c r="R45" s="32"/>
      <c r="S45" s="32"/>
      <c r="T45" s="32"/>
    </row>
    <row r="46" spans="6:21" s="35" customFormat="1" x14ac:dyDescent="0.25">
      <c r="F46" s="36"/>
      <c r="H46" s="37" t="s">
        <v>110</v>
      </c>
      <c r="I46" s="39" t="str">
        <f>_xll.EVDES(H46,$I$59)</f>
        <v>Verotulot ja valtionosuudet</v>
      </c>
      <c r="J46" s="32">
        <f>_xll.EVGET($I$59,$J$78,$J$79,$H46,"TOT")</f>
        <v>0</v>
      </c>
      <c r="K46" s="32">
        <f>_xll.EVGET($I$59,$K$78,$K$79,$H46,"TOT")</f>
        <v>0</v>
      </c>
      <c r="L46" s="32">
        <f>_xll.EVGET($I$59,$L$78,$L$79,$H46,"TOT")</f>
        <v>0</v>
      </c>
      <c r="M46" s="30">
        <f>K46+L46</f>
        <v>0</v>
      </c>
      <c r="N46" s="32"/>
      <c r="O46" s="32"/>
      <c r="P46" s="32"/>
      <c r="Q46" s="32">
        <f>P46+O46</f>
        <v>0</v>
      </c>
      <c r="R46" s="32"/>
      <c r="S46" s="32"/>
      <c r="T46" s="32"/>
    </row>
    <row r="47" spans="6:21" s="35" customFormat="1" x14ac:dyDescent="0.25">
      <c r="F47" s="36"/>
      <c r="H47" s="37" t="s">
        <v>111</v>
      </c>
      <c r="I47" s="39" t="str">
        <f>_xll.EVDES(H47,$I$59)</f>
        <v>Rahoitustuotot ja -kulut</v>
      </c>
      <c r="J47" s="32">
        <f>_xll.EVGET($I$59,$J$78,$J$79,$H47,"TOT")</f>
        <v>0</v>
      </c>
      <c r="K47" s="32">
        <f>_xll.EVGET($I$59,$K$78,$K$79,$H47,"TOT")</f>
        <v>0</v>
      </c>
      <c r="L47" s="32">
        <f>_xll.EVGET($I$59,$L$78,$L$79,$H47,"TOT")</f>
        <v>0</v>
      </c>
      <c r="M47" s="30">
        <f>K47+L47</f>
        <v>0</v>
      </c>
      <c r="N47" s="32"/>
      <c r="O47" s="32"/>
      <c r="P47" s="32"/>
      <c r="Q47" s="32">
        <f>P47+O47</f>
        <v>0</v>
      </c>
      <c r="R47" s="32"/>
      <c r="S47" s="32"/>
      <c r="T47" s="32"/>
    </row>
    <row r="48" spans="6:21" s="35" customFormat="1" x14ac:dyDescent="0.25">
      <c r="F48" s="36"/>
      <c r="H48" s="37" t="s">
        <v>107</v>
      </c>
      <c r="I48" s="39" t="str">
        <f>_xll.EVDES(H48,$I$59)</f>
        <v>Poistot ja arvonalentumiset</v>
      </c>
      <c r="J48" s="32">
        <f>_xll.EVGET($I$59,$J$78,$J$79,$H48,"TOT")</f>
        <v>0</v>
      </c>
      <c r="K48" s="32">
        <f>_xll.EVGET($I$59,$K$78,$K$79,$H48,"TOT")</f>
        <v>0</v>
      </c>
      <c r="L48" s="32">
        <f>_xll.EVGET($I$59,$L$78,$L$79,$H48,"TOT")</f>
        <v>0</v>
      </c>
      <c r="M48" s="30">
        <f>K48+L48</f>
        <v>0</v>
      </c>
      <c r="N48" s="32"/>
      <c r="O48" s="32"/>
      <c r="P48" s="32"/>
      <c r="Q48" s="32">
        <f>P48+O48</f>
        <v>0</v>
      </c>
      <c r="R48" s="32"/>
      <c r="S48" s="32"/>
      <c r="T48" s="32"/>
    </row>
    <row r="49" spans="1:21" s="35" customFormat="1" x14ac:dyDescent="0.25">
      <c r="F49" s="36"/>
      <c r="H49" s="37" t="s">
        <v>108</v>
      </c>
      <c r="I49" s="39" t="str">
        <f>_xll.EVDES(H49,$I$59)</f>
        <v>Satunnaiset tuotot ja kulut</v>
      </c>
      <c r="J49" s="32">
        <f>_xll.EVGET($I$59,$J$78,$J$79,$H49,"TOT")</f>
        <v>0</v>
      </c>
      <c r="K49" s="32">
        <f>_xll.EVGET($I$59,$K$78,$K$79,$H49,"TOT")</f>
        <v>0</v>
      </c>
      <c r="L49" s="32">
        <f>_xll.EVGET($I$59,$L$78,$L$79,$H49,"TOT")</f>
        <v>0</v>
      </c>
      <c r="M49" s="30">
        <f>K49+L49</f>
        <v>0</v>
      </c>
      <c r="N49" s="32"/>
      <c r="O49" s="32"/>
      <c r="P49" s="32"/>
      <c r="Q49" s="32">
        <f>P49+O49</f>
        <v>0</v>
      </c>
      <c r="R49" s="32"/>
      <c r="S49" s="32"/>
      <c r="T49" s="32"/>
    </row>
    <row r="50" spans="1:21" s="35" customFormat="1" x14ac:dyDescent="0.25">
      <c r="F50" s="36"/>
      <c r="H50" s="37" t="s">
        <v>109</v>
      </c>
      <c r="I50" s="39" t="str">
        <f>_xll.EVDES(H50,$I$59)</f>
        <v>Varausten ja rahastojen muutokset</v>
      </c>
      <c r="J50" s="32">
        <f>_xll.EVGET($I$59,$J$78,$J$79,$H50,"TOT")</f>
        <v>0</v>
      </c>
      <c r="K50" s="32">
        <f>_xll.EVGET($I$59,$K$78,$K$79,$H50,"TOT")</f>
        <v>0</v>
      </c>
      <c r="L50" s="32">
        <f>_xll.EVGET($I$59,$L$78,$L$79,$H50,"TOT")</f>
        <v>0</v>
      </c>
      <c r="M50" s="30">
        <f>K50+L50</f>
        <v>0</v>
      </c>
      <c r="N50" s="32"/>
      <c r="O50" s="32"/>
      <c r="P50" s="32"/>
      <c r="Q50" s="32">
        <f>P50+O50</f>
        <v>0</v>
      </c>
      <c r="R50" s="32"/>
      <c r="S50" s="32"/>
      <c r="T50" s="32"/>
    </row>
    <row r="51" spans="1:21" s="35" customFormat="1" x14ac:dyDescent="0.25">
      <c r="F51" s="36"/>
      <c r="H51" s="37"/>
      <c r="I51" s="38" t="s">
        <v>74</v>
      </c>
      <c r="J51" s="32"/>
      <c r="K51" s="32"/>
      <c r="L51" s="32"/>
      <c r="M51" s="30"/>
      <c r="N51" s="32"/>
      <c r="O51" s="32"/>
      <c r="P51" s="32"/>
      <c r="Q51" s="32"/>
      <c r="R51" s="32"/>
      <c r="S51" s="32"/>
      <c r="T51" s="32"/>
    </row>
    <row r="52" spans="1:21" ht="15.75" thickBot="1" x14ac:dyDescent="0.3">
      <c r="H52" s="16"/>
      <c r="I52" s="63" t="s">
        <v>62</v>
      </c>
      <c r="J52" s="44">
        <f>J44-J48+J49+J50+J47+J46</f>
        <v>0</v>
      </c>
      <c r="K52" s="44">
        <f t="shared" ref="K52:T52" si="8">K44-K48+K49+K50+K47+K46</f>
        <v>0</v>
      </c>
      <c r="L52" s="44">
        <f t="shared" si="8"/>
        <v>0</v>
      </c>
      <c r="M52" s="44">
        <f t="shared" si="8"/>
        <v>0</v>
      </c>
      <c r="N52" s="44">
        <f t="shared" si="8"/>
        <v>0</v>
      </c>
      <c r="O52" s="44">
        <f t="shared" si="8"/>
        <v>0</v>
      </c>
      <c r="P52" s="44">
        <f t="shared" si="8"/>
        <v>0</v>
      </c>
      <c r="Q52" s="44">
        <f t="shared" si="8"/>
        <v>0</v>
      </c>
      <c r="R52" s="44">
        <f t="shared" si="8"/>
        <v>0</v>
      </c>
      <c r="S52" s="44">
        <f t="shared" si="8"/>
        <v>0</v>
      </c>
      <c r="T52" s="44">
        <f t="shared" si="8"/>
        <v>0</v>
      </c>
      <c r="U52" s="35"/>
    </row>
    <row r="53" spans="1:21" ht="15.75" thickTop="1" x14ac:dyDescent="0.25">
      <c r="A53" s="35"/>
      <c r="B53" s="35"/>
      <c r="C53" s="35"/>
      <c r="D53" s="35"/>
      <c r="E53" s="35"/>
      <c r="F53" s="36"/>
      <c r="G53" s="35"/>
      <c r="H53" s="37"/>
      <c r="I53" s="73" t="s">
        <v>74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5"/>
    </row>
    <row r="54" spans="1:21" x14ac:dyDescent="0.25">
      <c r="H54" s="16"/>
      <c r="I54" s="67" t="s">
        <v>87</v>
      </c>
      <c r="J54" s="34">
        <f>_xll.EVGET($I$59,J$78,$I$62,$I$63,$I$64,$I$66,J$79,$I$69,"YHT","TILI:3","VERSIO:TOT")</f>
        <v>0</v>
      </c>
      <c r="K54" s="34">
        <f>_xll.EVGET($I$59,K$78,$I$62,$I$63,$I$64,$I$66,K$79,$I$69,"YHT","TILI:3","VERSIO:TOT")</f>
        <v>0</v>
      </c>
      <c r="L54" s="34">
        <f>_xll.EVGET($I$59,L$78,$I$62,$I$63,$I$64,$I$66,L$79,$I$69,"YHT","TILI:3","VERSIO:TOT")</f>
        <v>0</v>
      </c>
      <c r="M54" s="34">
        <f>K54+L54</f>
        <v>0</v>
      </c>
      <c r="N54" s="34">
        <f>_xll.EVGET($I$59,N$78,$I$62,$I$63,$I$64,$I$66,N$79,$I$69,"YHT","TILI:3")</f>
        <v>0</v>
      </c>
      <c r="O54" s="34">
        <f>_xll.EVGET($I$59,O$78,$I$62,$I$63,$I$64,$I$66,O$79,$I$69,"YHT","TILI:3")</f>
        <v>0</v>
      </c>
      <c r="P54" s="34">
        <f>_xll.EVGET($I$59,P$78,$I$62,$I$63,$I$64,$I$66,P$79,$I$69,"YHT","TILI:3")</f>
        <v>0</v>
      </c>
      <c r="Q54" s="34">
        <f>O54+P54</f>
        <v>0</v>
      </c>
      <c r="R54" s="34">
        <f>_xll.EVGET($I$59,R$78,$I$62,$I$63,$I$64,$I$66,R$79,$I$69,"YHT","TILI:3_R")</f>
        <v>0</v>
      </c>
      <c r="S54" s="34">
        <f>_xll.EVGET($I$59,S$78,$I$62,$I$63,$I$64,$I$66,S$79,$I$69,"YHT","TILI:3_R")</f>
        <v>0</v>
      </c>
      <c r="T54" s="34">
        <f>_xll.EVGET($I$59,T$78,$I$62,$I$63,$I$64,$I$66,T$79,$I$69,"YHT","TILI:3_R")</f>
        <v>0</v>
      </c>
      <c r="U54" s="35"/>
    </row>
    <row r="55" spans="1:21" ht="15.75" thickBot="1" x14ac:dyDescent="0.3">
      <c r="H55" s="16"/>
      <c r="I55" s="66" t="s">
        <v>63</v>
      </c>
      <c r="J55" s="44">
        <f>_xll.EVGET($I$59,J$78,$I$62,$I$63,$I$64,$I$66,J$79,$I$69,"YHT","TILI:4","VERSIO:TOT")</f>
        <v>0</v>
      </c>
      <c r="K55" s="44">
        <f>_xll.EVGET($I$59,K$78,$I$62,$I$63,$I$64,$I$66,K$79,$I$69,"YHT","TILI:4","VERSIO:TOT")</f>
        <v>0</v>
      </c>
      <c r="L55" s="44">
        <f>_xll.EVGET($I$59,L$78,$I$62,$I$63,$I$64,$I$66,L$79,$I$69,"YHT","TILI:4","VERSIO:TOT")</f>
        <v>0</v>
      </c>
      <c r="M55" s="44">
        <f>K55+L55</f>
        <v>0</v>
      </c>
      <c r="N55" s="44">
        <f>_xll.EVGET($I$59,N$78,$I$62,$I$63,$I$64,$I$66,N$79,$I$69,"YHT","TILI:4")</f>
        <v>0</v>
      </c>
      <c r="O55" s="44">
        <f>_xll.EVGET($I$59,O$78,$I$62,$I$63,$I$64,$I$66,O$79,$I$69,"YHT","TILI:4")</f>
        <v>0</v>
      </c>
      <c r="P55" s="44">
        <f>_xll.EVGET($I$59,P$78,$I$62,$I$63,$I$64,$I$66,P$79,$I$69,"YHT","TILI:4")</f>
        <v>0</v>
      </c>
      <c r="Q55" s="44">
        <f>O55+P55</f>
        <v>0</v>
      </c>
      <c r="R55" s="44">
        <f>_xll.EVGET($I$59,R$78,$I$62,$I$63,$I$64,$I$66,R$79,$I$69,"YHT","TILI:4_R")</f>
        <v>0</v>
      </c>
      <c r="S55" s="44">
        <f>_xll.EVGET($I$59,S$78,$I$62,$I$63,$I$64,$I$66,S$79,$I$69,"YHT","TILI:4_R")</f>
        <v>0</v>
      </c>
      <c r="T55" s="44">
        <f>_xll.EVGET($I$59,T$78,$I$62,$I$63,$I$64,$I$66,T$79,$I$69,"YHT","TILI:4_R")</f>
        <v>0</v>
      </c>
      <c r="U55" s="35"/>
    </row>
    <row r="56" spans="1:21" ht="15.75" thickTop="1" x14ac:dyDescent="0.25">
      <c r="I56" s="1" t="s">
        <v>74</v>
      </c>
    </row>
    <row r="57" spans="1:21" x14ac:dyDescent="0.25">
      <c r="I57" s="1" t="s">
        <v>74</v>
      </c>
    </row>
    <row r="59" spans="1:21" x14ac:dyDescent="0.25">
      <c r="H59" s="10" t="s">
        <v>44</v>
      </c>
      <c r="I59" s="11" t="s">
        <v>45</v>
      </c>
      <c r="J59" s="10" t="str">
        <f>_xll.EVAPD($I$59)</f>
        <v>Talousarvion valmistelu</v>
      </c>
    </row>
    <row r="60" spans="1:21" x14ac:dyDescent="0.25">
      <c r="A60" s="2" t="s">
        <v>0</v>
      </c>
      <c r="B60" s="5" t="s">
        <v>1</v>
      </c>
      <c r="H60" s="10" t="s">
        <v>21</v>
      </c>
      <c r="I60" s="12" t="str">
        <f>LEFT(Käyttötalousosa!I60,4)&amp;".vuosi_syöttö"</f>
        <v>2012.vuosi_syöttö</v>
      </c>
      <c r="J60" s="1" t="str">
        <f>_xll.EVDES(I60,$I$59)</f>
        <v>2012</v>
      </c>
    </row>
    <row r="61" spans="1:21" x14ac:dyDescent="0.25">
      <c r="A61" s="6" t="s">
        <v>2</v>
      </c>
      <c r="B61" s="7" t="str">
        <f>_xll.EVRNG(I60:I69)</f>
        <v>I!$I$60:$I$69</v>
      </c>
      <c r="H61" s="10" t="s">
        <v>46</v>
      </c>
      <c r="I61" s="12" t="str">
        <f>Käyttötalousosa!I61</f>
        <v>1001</v>
      </c>
      <c r="J61" s="1" t="str">
        <f>_xll.EVDES(I61,$I$59)</f>
        <v>Turun kaupunki</v>
      </c>
    </row>
    <row r="62" spans="1:21" x14ac:dyDescent="0.25">
      <c r="A62" s="6" t="s">
        <v>3</v>
      </c>
      <c r="B62" s="7" t="str">
        <f>_xll.EVRNG(J78:T79)</f>
        <v>I!$J$78:$T$79</v>
      </c>
      <c r="H62" s="10" t="s">
        <v>47</v>
      </c>
      <c r="I62" s="12" t="str">
        <f>Käyttötalousosa!I62</f>
        <v>KUSTANNUSPAIKKA:LIIKLK</v>
      </c>
      <c r="J62" s="1" t="str">
        <f>_xll.EVDES(I62,$I$59)</f>
        <v>Liikuntalautakunta</v>
      </c>
    </row>
    <row r="63" spans="1:21" x14ac:dyDescent="0.25">
      <c r="A63" s="6" t="s">
        <v>4</v>
      </c>
      <c r="B63" s="7" t="str">
        <f>_xll.EVRNG(G82:H135)</f>
        <v>I!$G$82:$H$135</v>
      </c>
      <c r="H63" s="10" t="s">
        <v>48</v>
      </c>
      <c r="I63" s="12" t="str">
        <f>Käyttötalousosa!I63</f>
        <v>PERIODIC</v>
      </c>
      <c r="J63" s="1" t="str">
        <f>_xll.EVDES(I63,$I$59)</f>
        <v>Periodic</v>
      </c>
    </row>
    <row r="64" spans="1:21" x14ac:dyDescent="0.25">
      <c r="A64" s="6" t="s">
        <v>5</v>
      </c>
      <c r="B64" s="7"/>
      <c r="H64" s="10" t="s">
        <v>49</v>
      </c>
      <c r="I64" s="12" t="str">
        <f>Käyttötalousosa!I64</f>
        <v>TILAUS:YHTEENSA</v>
      </c>
      <c r="J64" s="1" t="str">
        <f>_xll.EVDES(I64,$I$59)</f>
        <v>Tilastolliset tilaukset YHTEENSÄ</v>
      </c>
    </row>
    <row r="65" spans="1:24" x14ac:dyDescent="0.25">
      <c r="A65" s="6" t="s">
        <v>6</v>
      </c>
      <c r="B65" s="7"/>
      <c r="H65" s="10" t="s">
        <v>24</v>
      </c>
      <c r="I65" s="12" t="str">
        <f>Käyttötalousosa!I65</f>
        <v>482000</v>
      </c>
      <c r="J65" s="1" t="str">
        <f>_xll.EVDES(I65,$I$59)</f>
        <v>Rakennusten ja huoneistojen vuokrat</v>
      </c>
    </row>
    <row r="66" spans="1:24" x14ac:dyDescent="0.25">
      <c r="A66" s="6" t="s">
        <v>7</v>
      </c>
      <c r="B66" s="7"/>
      <c r="H66" s="10" t="s">
        <v>50</v>
      </c>
      <c r="I66" s="12" t="str">
        <f>Käyttötalousosa!I66</f>
        <v>A000</v>
      </c>
      <c r="J66" s="1" t="str">
        <f>_xll.EVDES(I66,$I$59)</f>
        <v>Ei Määritelty</v>
      </c>
    </row>
    <row r="67" spans="1:24" x14ac:dyDescent="0.25">
      <c r="A67" s="6" t="s">
        <v>43</v>
      </c>
      <c r="B67" s="7" t="str">
        <f>_xll.EVRNG($A$90:$B$105)</f>
        <v>I!$A$90:$B$105</v>
      </c>
      <c r="H67" s="10" t="s">
        <v>22</v>
      </c>
      <c r="I67" s="12" t="str">
        <f>Käyttötalousosa!I67</f>
        <v>TO_EHD</v>
      </c>
      <c r="J67" s="1" t="str">
        <f>_xll.EVDES(I67,$I$59)</f>
        <v>Toimielimen ehdotus</v>
      </c>
    </row>
    <row r="68" spans="1:24" x14ac:dyDescent="0.25">
      <c r="A68" s="6" t="s">
        <v>8</v>
      </c>
      <c r="B68" s="7"/>
      <c r="H68" s="10" t="s">
        <v>51</v>
      </c>
      <c r="I68" s="12" t="str">
        <f>Käyttötalousosa!I68</f>
        <v>RAA_V1</v>
      </c>
      <c r="J68" s="1" t="str">
        <f>_xll.EVDES(I68,$I$59)</f>
        <v>Raamia vastaava budjetti V1</v>
      </c>
    </row>
    <row r="69" spans="1:24" x14ac:dyDescent="0.25">
      <c r="H69" s="10" t="s">
        <v>52</v>
      </c>
      <c r="I69" s="12" t="str">
        <f>Käyttötalousosa!I69</f>
        <v>YRITYS:1002</v>
      </c>
      <c r="J69" s="1" t="str">
        <f>_xll.EVDES(I69,$I$59)</f>
        <v>Turun peruskaupunki</v>
      </c>
    </row>
    <row r="70" spans="1:24" x14ac:dyDescent="0.25">
      <c r="H70" s="10"/>
    </row>
    <row r="71" spans="1:24" x14ac:dyDescent="0.25">
      <c r="F71" s="19" t="str">
        <f>IF(_xll.EVDES(F78,$I$59)="#NODATA","",_xll.EVDES(F78,$I$59))</f>
        <v/>
      </c>
      <c r="H71" s="10"/>
      <c r="I71" s="19" t="str">
        <f>IF(_xll.EVDES(I78,$I$59)="#NODATA","",_xll.EVDES(I78,$I$59))</f>
        <v/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1:24" x14ac:dyDescent="0.25">
      <c r="H72" s="10"/>
    </row>
    <row r="73" spans="1:24" x14ac:dyDescent="0.25">
      <c r="H73" s="10"/>
    </row>
    <row r="74" spans="1:24" x14ac:dyDescent="0.25">
      <c r="H74" s="10"/>
    </row>
    <row r="75" spans="1:24" x14ac:dyDescent="0.25">
      <c r="H75" s="10"/>
    </row>
    <row r="76" spans="1:24" ht="48.75" customHeight="1" x14ac:dyDescent="0.25">
      <c r="H76" s="10"/>
      <c r="I76" s="22" t="s">
        <v>54</v>
      </c>
      <c r="J76" s="25" t="str">
        <f>"TP "&amp;(LEFT($I$60,4)-1)</f>
        <v>TP 2011</v>
      </c>
      <c r="K76" s="25" t="str">
        <f>"TA "&amp;(LEFT($J$60,4))</f>
        <v>TA 2012</v>
      </c>
      <c r="L76" s="25" t="str">
        <f>"TA  muutokset "&amp;(LEFT($J$60,4))</f>
        <v>TA  muutokset 2012</v>
      </c>
      <c r="M76" s="25" t="str">
        <f>"TA yhteensä "&amp;(LEFT($J$60,4))</f>
        <v>TA yhteensä 2012</v>
      </c>
      <c r="N76" s="25" t="str">
        <f>"Toimielimen ehdotus "&amp;(LEFT($I$60,4)+1)</f>
        <v>Toimielimen ehdotus 2013</v>
      </c>
      <c r="O76" s="25" t="str">
        <f>"TA  "&amp;(LEFT($I$60,4)+1)</f>
        <v>TA  2013</v>
      </c>
      <c r="P76" s="25" t="str">
        <f>"TA  muutokset "&amp;(LEFT($I$60,4)+1)</f>
        <v>TA  muutokset 2013</v>
      </c>
      <c r="Q76" s="25" t="str">
        <f>"TA yhteensä "&amp;(LEFT($I$60,4)+1)</f>
        <v>TA yhteensä 2013</v>
      </c>
      <c r="R76" s="25" t="str">
        <f>"TS "&amp;(LEFT($I$60,4)+2)</f>
        <v>TS 2014</v>
      </c>
      <c r="S76" s="25" t="str">
        <f>"TS "&amp;(LEFT($I$60,4)+3)</f>
        <v>TS 2015</v>
      </c>
      <c r="T76" s="25" t="str">
        <f>"TS "&amp;(LEFT($I$60,4)+4)</f>
        <v>TS 2016</v>
      </c>
    </row>
    <row r="78" spans="1:24" x14ac:dyDescent="0.25">
      <c r="H78" s="13"/>
      <c r="I78" s="14"/>
      <c r="J78" s="23" t="str">
        <f>$I$60</f>
        <v>2012.vuosi_syöttö</v>
      </c>
      <c r="K78" s="23" t="str">
        <f t="shared" ref="K78:T78" si="9">$I$60</f>
        <v>2012.vuosi_syöttö</v>
      </c>
      <c r="L78" s="23" t="str">
        <f t="shared" si="9"/>
        <v>2012.vuosi_syöttö</v>
      </c>
      <c r="M78" s="23" t="str">
        <f t="shared" si="9"/>
        <v>2012.vuosi_syöttö</v>
      </c>
      <c r="N78" s="23" t="str">
        <f t="shared" si="9"/>
        <v>2012.vuosi_syöttö</v>
      </c>
      <c r="O78" s="23" t="str">
        <f t="shared" si="9"/>
        <v>2012.vuosi_syöttö</v>
      </c>
      <c r="P78" s="23" t="str">
        <f t="shared" si="9"/>
        <v>2012.vuosi_syöttö</v>
      </c>
      <c r="Q78" s="23" t="str">
        <f t="shared" si="9"/>
        <v>2012.vuosi_syöttö</v>
      </c>
      <c r="R78" s="23" t="str">
        <f t="shared" si="9"/>
        <v>2012.vuosi_syöttö</v>
      </c>
      <c r="S78" s="23" t="str">
        <f t="shared" si="9"/>
        <v>2012.vuosi_syöttö</v>
      </c>
      <c r="T78" s="23" t="str">
        <f t="shared" si="9"/>
        <v>2012.vuosi_syöttö</v>
      </c>
    </row>
    <row r="79" spans="1:24" x14ac:dyDescent="0.25">
      <c r="A79" s="2" t="s">
        <v>9</v>
      </c>
      <c r="B79" s="4" t="s">
        <v>10</v>
      </c>
      <c r="C79" s="4" t="s">
        <v>11</v>
      </c>
      <c r="D79" s="4" t="s">
        <v>12</v>
      </c>
      <c r="E79" s="5" t="s">
        <v>73</v>
      </c>
      <c r="H79" s="13"/>
      <c r="I79" s="14"/>
      <c r="J79" s="14" t="s">
        <v>84</v>
      </c>
      <c r="K79" s="14" t="s">
        <v>64</v>
      </c>
      <c r="L79" s="14" t="s">
        <v>85</v>
      </c>
      <c r="M79" s="14"/>
      <c r="N79" s="14" t="s">
        <v>65</v>
      </c>
      <c r="O79" s="14" t="s">
        <v>65</v>
      </c>
      <c r="P79" s="14" t="s">
        <v>66</v>
      </c>
      <c r="Q79" s="14"/>
      <c r="R79" s="14" t="s">
        <v>67</v>
      </c>
      <c r="S79" s="14" t="s">
        <v>68</v>
      </c>
      <c r="T79" s="14" t="s">
        <v>69</v>
      </c>
      <c r="W79" s="25"/>
      <c r="X79" s="25"/>
    </row>
    <row r="80" spans="1:24" x14ac:dyDescent="0.25">
      <c r="A80" s="8" t="s">
        <v>13</v>
      </c>
      <c r="B80" s="9" t="s">
        <v>20</v>
      </c>
      <c r="C80" s="9" t="s">
        <v>20</v>
      </c>
      <c r="D80" s="9" t="s">
        <v>23</v>
      </c>
      <c r="E80" s="9" t="s">
        <v>23</v>
      </c>
      <c r="H80" s="1" t="str">
        <f>IF(_xll.EVDES(H78,$I$59)="#NODATA","",_xll.EVDES(H78,$I$59))</f>
        <v/>
      </c>
    </row>
    <row r="81" spans="1:22" x14ac:dyDescent="0.25">
      <c r="A81" s="8" t="s">
        <v>14</v>
      </c>
      <c r="B81" s="9" t="s">
        <v>22</v>
      </c>
      <c r="C81" s="9" t="s">
        <v>21</v>
      </c>
      <c r="D81" s="9" t="s">
        <v>51</v>
      </c>
      <c r="E81" s="9" t="s">
        <v>24</v>
      </c>
      <c r="G81" s="18"/>
      <c r="I81" s="24"/>
      <c r="V81" s="25"/>
    </row>
    <row r="82" spans="1:22" x14ac:dyDescent="0.25">
      <c r="A82" s="8" t="s">
        <v>15</v>
      </c>
      <c r="B82" s="15" t="s">
        <v>70</v>
      </c>
      <c r="C82" s="15" t="s">
        <v>70</v>
      </c>
      <c r="D82" s="15" t="s">
        <v>72</v>
      </c>
      <c r="E82" s="15" t="str">
        <f>_xll.EVRNG(H3:U56)</f>
        <v>I!$H$3:$U$56</v>
      </c>
      <c r="G82" s="18" t="s">
        <v>121</v>
      </c>
      <c r="H82" s="35"/>
      <c r="I82" s="43" t="str">
        <f>"Toimielin "&amp;$J$140</f>
        <v>Toimielin Liikuntalautakunta</v>
      </c>
      <c r="J82" s="69" t="s">
        <v>74</v>
      </c>
      <c r="K82" s="69" t="s">
        <v>74</v>
      </c>
      <c r="L82" s="69" t="s">
        <v>74</v>
      </c>
      <c r="M82" s="69" t="s">
        <v>74</v>
      </c>
      <c r="N82" s="69" t="s">
        <v>74</v>
      </c>
      <c r="O82" s="69" t="s">
        <v>74</v>
      </c>
      <c r="P82" s="69" t="s">
        <v>74</v>
      </c>
      <c r="Q82" s="69" t="s">
        <v>74</v>
      </c>
      <c r="R82" s="69" t="s">
        <v>74</v>
      </c>
      <c r="S82" s="69" t="s">
        <v>74</v>
      </c>
      <c r="T82" s="69" t="s">
        <v>74</v>
      </c>
      <c r="U82" s="35"/>
    </row>
    <row r="83" spans="1:22" x14ac:dyDescent="0.25">
      <c r="A83" s="8" t="s">
        <v>16</v>
      </c>
      <c r="B83" s="9"/>
      <c r="C83" s="9"/>
      <c r="D83" s="9"/>
      <c r="E83" s="9"/>
      <c r="G83" s="18" t="s">
        <v>121</v>
      </c>
      <c r="H83" s="37"/>
      <c r="I83" s="43" t="s">
        <v>53</v>
      </c>
      <c r="J83" s="30"/>
      <c r="K83" s="30"/>
      <c r="L83" s="30"/>
      <c r="M83" s="30"/>
      <c r="N83" s="31"/>
      <c r="O83" s="30"/>
      <c r="P83" s="30"/>
      <c r="Q83" s="30"/>
      <c r="R83" s="30"/>
      <c r="S83" s="30"/>
      <c r="T83" s="30"/>
      <c r="U83" s="35"/>
    </row>
    <row r="84" spans="1:22" x14ac:dyDescent="0.25">
      <c r="A84" s="8" t="s">
        <v>17</v>
      </c>
      <c r="B84" s="9"/>
      <c r="C84" s="9"/>
      <c r="D84" s="9"/>
      <c r="E84" s="9"/>
      <c r="G84" s="18" t="s">
        <v>121</v>
      </c>
      <c r="H84" s="37"/>
      <c r="I84" s="43" t="s">
        <v>54</v>
      </c>
      <c r="J84" s="30"/>
      <c r="K84" s="30"/>
      <c r="L84" s="30"/>
      <c r="M84" s="30"/>
      <c r="N84" s="31"/>
      <c r="O84" s="30"/>
      <c r="P84" s="30"/>
      <c r="Q84" s="32" t="s">
        <v>74</v>
      </c>
      <c r="R84" s="30"/>
      <c r="S84" s="30"/>
      <c r="T84" s="30"/>
      <c r="U84" s="35"/>
    </row>
    <row r="85" spans="1:22" x14ac:dyDescent="0.25">
      <c r="A85" s="8" t="s">
        <v>18</v>
      </c>
      <c r="B85" s="9"/>
      <c r="C85" s="9"/>
      <c r="D85" s="9"/>
      <c r="E85" s="9"/>
      <c r="F85" s="26">
        <v>3</v>
      </c>
      <c r="G85" s="18" t="s">
        <v>121</v>
      </c>
      <c r="H85" s="40" t="s">
        <v>117</v>
      </c>
      <c r="I85" s="47" t="str">
        <f>_xll.EVDES(H85,$I$59)</f>
        <v>TOIMINTATUOTOT</v>
      </c>
      <c r="J85" s="48">
        <f>_xll.EVGET($I$59,$J$78,$J$79,$H85,"TOT")</f>
        <v>0</v>
      </c>
      <c r="K85" s="48">
        <f>_xll.EVGET($I$59,$K$78,$K$79,$H85,"TOT")</f>
        <v>0</v>
      </c>
      <c r="L85" s="48">
        <f>_xll.EVGET($I$59,$L$78,$L$79,$H85,"TOT")</f>
        <v>0</v>
      </c>
      <c r="M85" s="48">
        <f>K85+L85</f>
        <v>0</v>
      </c>
      <c r="N85" s="48">
        <f>_xll.EVGET($I$59,$N$78,$N$79,$H85)</f>
        <v>0</v>
      </c>
      <c r="O85" s="48">
        <f>_xll.EVGET($I$59,$O$78,$O$79,$H85)</f>
        <v>0</v>
      </c>
      <c r="P85" s="48">
        <f>_xll.EVGET($I$59,$P$78,$P$79,$H85)</f>
        <v>0</v>
      </c>
      <c r="Q85" s="70">
        <f>P85+O85</f>
        <v>0</v>
      </c>
      <c r="R85" s="48">
        <v>3800000</v>
      </c>
      <c r="S85" s="48">
        <v>3800000</v>
      </c>
      <c r="T85" s="49">
        <v>4200000</v>
      </c>
      <c r="U85" s="35"/>
    </row>
    <row r="86" spans="1:22" x14ac:dyDescent="0.25">
      <c r="A86" s="8" t="s">
        <v>19</v>
      </c>
      <c r="B86" s="9"/>
      <c r="C86" s="9"/>
      <c r="D86" s="9"/>
      <c r="E86" s="9"/>
      <c r="F86" s="26">
        <v>4</v>
      </c>
      <c r="G86" s="18" t="s">
        <v>121</v>
      </c>
      <c r="H86" s="40" t="s">
        <v>89</v>
      </c>
      <c r="I86" s="28" t="str">
        <f>_xll.EVDES(H86,$I$59)</f>
        <v>TOIMINTAKULUT</v>
      </c>
      <c r="J86" s="32">
        <f>J121</f>
        <v>0</v>
      </c>
      <c r="K86" s="32">
        <f t="shared" ref="K86:T86" si="10">K121</f>
        <v>0</v>
      </c>
      <c r="L86" s="32">
        <f t="shared" si="10"/>
        <v>0</v>
      </c>
      <c r="M86" s="32">
        <f t="shared" si="10"/>
        <v>0</v>
      </c>
      <c r="N86" s="32">
        <f t="shared" si="10"/>
        <v>18437743.574970599</v>
      </c>
      <c r="O86" s="32">
        <f t="shared" si="10"/>
        <v>18437743.574970599</v>
      </c>
      <c r="P86" s="32">
        <f t="shared" si="10"/>
        <v>0</v>
      </c>
      <c r="Q86" s="32">
        <f t="shared" si="10"/>
        <v>18437743.574970599</v>
      </c>
      <c r="R86" s="32">
        <f t="shared" si="10"/>
        <v>23200000</v>
      </c>
      <c r="S86" s="32">
        <f t="shared" si="10"/>
        <v>23500000</v>
      </c>
      <c r="T86" s="33">
        <f t="shared" si="10"/>
        <v>24100000</v>
      </c>
      <c r="U86" s="35"/>
    </row>
    <row r="87" spans="1:22" x14ac:dyDescent="0.25">
      <c r="G87" s="18" t="s">
        <v>121</v>
      </c>
      <c r="H87" s="37"/>
      <c r="I87" s="28" t="s">
        <v>55</v>
      </c>
      <c r="J87" s="32">
        <f>J85-J86</f>
        <v>0</v>
      </c>
      <c r="K87" s="32">
        <f t="shared" ref="K87:T87" si="11">K85-K86</f>
        <v>0</v>
      </c>
      <c r="L87" s="32">
        <f t="shared" si="11"/>
        <v>0</v>
      </c>
      <c r="M87" s="32">
        <f t="shared" si="11"/>
        <v>0</v>
      </c>
      <c r="N87" s="32">
        <f t="shared" si="11"/>
        <v>-18437743.574970599</v>
      </c>
      <c r="O87" s="32">
        <f t="shared" si="11"/>
        <v>-18437743.574970599</v>
      </c>
      <c r="P87" s="32">
        <f t="shared" si="11"/>
        <v>0</v>
      </c>
      <c r="Q87" s="32">
        <f t="shared" si="11"/>
        <v>-18437743.574970599</v>
      </c>
      <c r="R87" s="32">
        <f t="shared" si="11"/>
        <v>-19400000</v>
      </c>
      <c r="S87" s="32">
        <f t="shared" si="11"/>
        <v>-19700000</v>
      </c>
      <c r="T87" s="33">
        <f t="shared" si="11"/>
        <v>-19900000</v>
      </c>
      <c r="U87" s="35"/>
    </row>
    <row r="88" spans="1:22" x14ac:dyDescent="0.25">
      <c r="G88" s="18" t="s">
        <v>121</v>
      </c>
      <c r="H88" s="37"/>
      <c r="I88" s="71" t="s">
        <v>56</v>
      </c>
      <c r="J88" s="72"/>
      <c r="K88" s="72"/>
      <c r="L88" s="72"/>
      <c r="M88" s="51">
        <f>K88+J88</f>
        <v>0</v>
      </c>
      <c r="N88" s="50">
        <f>IF(ISERR(100*N87/K87-100),0,100*N87/K87-100)</f>
        <v>0</v>
      </c>
      <c r="O88" s="50">
        <f>IF(ISERR(100*O87/K87-100),0,100*O87/K87-100)</f>
        <v>0</v>
      </c>
      <c r="P88" s="50"/>
      <c r="Q88" s="72">
        <f>P88+O88</f>
        <v>0</v>
      </c>
      <c r="R88" s="50">
        <f>IF(ISERR(100*R87*1000/O87-100),0,100*R87*1000/O87-100)</f>
        <v>105118.94895173438</v>
      </c>
      <c r="S88" s="50">
        <f>IF(ISERR(100*S87/R87-100),0,100*S87/R87-100)</f>
        <v>1.5463917525773212</v>
      </c>
      <c r="T88" s="52">
        <f>IF(ISERR(100*T87/S87-100),0,100*T87/S87-100)</f>
        <v>1.0152284263959359</v>
      </c>
      <c r="U88" s="35"/>
    </row>
    <row r="89" spans="1:22" x14ac:dyDescent="0.25">
      <c r="A89" s="2" t="s">
        <v>25</v>
      </c>
      <c r="B89" s="5" t="s">
        <v>26</v>
      </c>
      <c r="C89" s="5" t="s">
        <v>88</v>
      </c>
      <c r="G89" s="18" t="s">
        <v>121</v>
      </c>
      <c r="H89" s="37"/>
      <c r="I89" s="39" t="s">
        <v>74</v>
      </c>
      <c r="J89" s="32"/>
      <c r="K89" s="32"/>
      <c r="L89" s="32"/>
      <c r="M89" s="30"/>
      <c r="N89" s="29"/>
      <c r="O89" s="32"/>
      <c r="P89" s="32"/>
      <c r="Q89" s="32"/>
      <c r="R89" s="32"/>
      <c r="S89" s="32"/>
      <c r="T89" s="32"/>
      <c r="U89" s="35"/>
    </row>
    <row r="90" spans="1:22" x14ac:dyDescent="0.25">
      <c r="A90" s="6" t="s">
        <v>27</v>
      </c>
      <c r="B90" s="7"/>
      <c r="C90" s="1" t="str">
        <f>I62&amp;"_TOIM"</f>
        <v>KUSTANNUSPAIKKA:LIIKLK_TOIM</v>
      </c>
      <c r="G90" s="18" t="s">
        <v>121</v>
      </c>
      <c r="H90" s="37"/>
      <c r="I90" s="43" t="s">
        <v>57</v>
      </c>
      <c r="J90" s="32"/>
      <c r="K90" s="32"/>
      <c r="L90" s="32"/>
      <c r="M90" s="30"/>
      <c r="N90" s="29"/>
      <c r="O90" s="32"/>
      <c r="P90" s="32"/>
      <c r="Q90" s="32">
        <f>P90+O90</f>
        <v>0</v>
      </c>
      <c r="R90" s="32"/>
      <c r="S90" s="32"/>
      <c r="T90" s="32"/>
      <c r="U90" s="35"/>
    </row>
    <row r="91" spans="1:22" x14ac:dyDescent="0.25">
      <c r="A91" s="6" t="s">
        <v>28</v>
      </c>
      <c r="B91" s="7"/>
      <c r="C91" s="1" t="str">
        <f>LEFT(I60,4)&amp;".vuosi_syöttö"</f>
        <v>2012.vuosi_syöttö</v>
      </c>
      <c r="G91" s="18" t="s">
        <v>121</v>
      </c>
      <c r="H91" s="37" t="s">
        <v>58</v>
      </c>
      <c r="I91" s="39" t="str">
        <f>_xll.EVDES(H91,$I$59)</f>
        <v>Valtionosuudet ja muut rahoitusosuudet</v>
      </c>
      <c r="J91" s="32">
        <f>_xll.EVGET($I$59,$J$78,$J$79,$H91,"TOT",$C$90,"TILAUS:A")</f>
        <v>0</v>
      </c>
      <c r="K91" s="32">
        <f>_xll.EVGET($I$59,$K$78,$K$79,$H91,"TOT",$C$90,"TILAUS:A")</f>
        <v>0</v>
      </c>
      <c r="L91" s="32">
        <f>_xll.EVGET($I$59,$L$78,$L$79,$H91,"TOT",$C$90,"TILAUS:A")</f>
        <v>0</v>
      </c>
      <c r="M91" s="30">
        <f>K91+L91</f>
        <v>0</v>
      </c>
      <c r="N91" s="32">
        <f>_xll.EVGET($I$59,$N$78,$N$79,$H91,$C$90,"TILAUS:A")</f>
        <v>0</v>
      </c>
      <c r="O91" s="32">
        <f>_xll.EVGET($I$59,$O$78,$O$79,$H91,$C$90,"TILAUS:A")</f>
        <v>0</v>
      </c>
      <c r="P91" s="32">
        <f>_xll.EVGET($I$59,$P$78,$P$79,$H91,$C$90,"TILAUS:A")</f>
        <v>0</v>
      </c>
      <c r="Q91" s="32">
        <f>P91+O91</f>
        <v>0</v>
      </c>
      <c r="R91" s="32">
        <f>_xll.EVGET($I$59,$R$78,$R$79,$H91,$C$90,"TILAUS:A")</f>
        <v>0</v>
      </c>
      <c r="S91" s="32">
        <f>_xll.EVGET($I$59,$S$78,$S$79,$H91,$C$90,"TILAUS:A")</f>
        <v>0</v>
      </c>
      <c r="T91" s="32">
        <f>_xll.EVGET($I$59,$T$78,$T$79,$H91,$C$90,"TILAUS:A")</f>
        <v>0</v>
      </c>
      <c r="U91" s="35"/>
    </row>
    <row r="92" spans="1:22" x14ac:dyDescent="0.25">
      <c r="A92" s="6" t="s">
        <v>29</v>
      </c>
      <c r="B92" s="7"/>
      <c r="G92" s="18" t="s">
        <v>121</v>
      </c>
      <c r="H92" s="37" t="s">
        <v>59</v>
      </c>
      <c r="I92" s="39" t="str">
        <f>_xll.EVDES(H92,$I$59)</f>
        <v>Investointikulut</v>
      </c>
      <c r="J92" s="32">
        <f>_xll.EVGET($I$59,$J$78,$J$79,$H92,"TOT",$C$90,"TILAUS:A")</f>
        <v>0</v>
      </c>
      <c r="K92" s="32">
        <f>_xll.EVGET($I$59,$K$78,$K$79,$H92,"TOT",$C$90,"TILAUS:A")</f>
        <v>0</v>
      </c>
      <c r="L92" s="32">
        <f>_xll.EVGET($I$59,$L$78,$L$79,$H92,"TOT",$C$90,"TILAUS:A")</f>
        <v>0</v>
      </c>
      <c r="M92" s="30">
        <f>K92+L92</f>
        <v>0</v>
      </c>
      <c r="N92" s="32">
        <f>_xll.EVGET($I$59,$N$78,$N$79,$H92,$C$90,"TILAUS:A")</f>
        <v>0</v>
      </c>
      <c r="O92" s="32">
        <f>_xll.EVGET($I$59,$O$78,$O$79,$H92,$C$90,"TILAUS:A")</f>
        <v>0</v>
      </c>
      <c r="P92" s="32">
        <f>_xll.EVGET($I$59,$P$78,$P$79,$H92,$C$90,"TILAUS:A")</f>
        <v>0</v>
      </c>
      <c r="Q92" s="32">
        <f>P92+O92</f>
        <v>0</v>
      </c>
      <c r="R92" s="32">
        <f>_xll.EVGET($I$59,$R$78,$R$79,$H92,$C$90,"TILAUS:A")</f>
        <v>0</v>
      </c>
      <c r="S92" s="32">
        <f>_xll.EVGET($I$59,$S$78,$S$79,$H92,$C$90,"TILAUS:A")</f>
        <v>0</v>
      </c>
      <c r="T92" s="32">
        <f>_xll.EVGET($I$59,$T$78,$T$79,$H92,$C$90,"TILAUS:A")</f>
        <v>0</v>
      </c>
      <c r="U92" s="35"/>
    </row>
    <row r="93" spans="1:22" x14ac:dyDescent="0.25">
      <c r="A93" s="6" t="s">
        <v>30</v>
      </c>
      <c r="B93" s="7"/>
      <c r="G93" s="18" t="s">
        <v>121</v>
      </c>
      <c r="H93" s="37" t="s">
        <v>86</v>
      </c>
      <c r="I93" s="39" t="str">
        <f>_xll.EVDES(H93,$I$59)</f>
        <v>Nettoinvestoinnit</v>
      </c>
      <c r="J93" s="29">
        <f>J91-J92</f>
        <v>0</v>
      </c>
      <c r="K93" s="29">
        <f>K91-K92</f>
        <v>0</v>
      </c>
      <c r="L93" s="29">
        <f>L91-L92</f>
        <v>0</v>
      </c>
      <c r="M93" s="31">
        <f>K93+L93</f>
        <v>0</v>
      </c>
      <c r="N93" s="29">
        <f>N91-N92</f>
        <v>0</v>
      </c>
      <c r="O93" s="29">
        <f>O91-O92</f>
        <v>0</v>
      </c>
      <c r="P93" s="29">
        <f>P91-P92</f>
        <v>0</v>
      </c>
      <c r="Q93" s="29">
        <f>P93+O93</f>
        <v>0</v>
      </c>
      <c r="R93" s="29">
        <f>R91-R92</f>
        <v>0</v>
      </c>
      <c r="S93" s="29">
        <f>S91-S92</f>
        <v>0</v>
      </c>
      <c r="T93" s="29">
        <f>T91-T92</f>
        <v>0</v>
      </c>
      <c r="U93" s="35"/>
    </row>
    <row r="94" spans="1:22" x14ac:dyDescent="0.25">
      <c r="A94" s="6" t="s">
        <v>31</v>
      </c>
      <c r="B94" s="7"/>
      <c r="G94" s="18" t="s">
        <v>121</v>
      </c>
      <c r="H94" s="37"/>
      <c r="I94" s="39" t="s">
        <v>74</v>
      </c>
      <c r="J94" s="32"/>
      <c r="K94" s="32"/>
      <c r="L94" s="32"/>
      <c r="M94" s="30"/>
      <c r="N94" s="29"/>
      <c r="O94" s="32"/>
      <c r="P94" s="32"/>
      <c r="Q94" s="32"/>
      <c r="R94" s="32"/>
      <c r="S94" s="32"/>
      <c r="T94" s="32"/>
      <c r="U94" s="35"/>
    </row>
    <row r="95" spans="1:22" x14ac:dyDescent="0.25">
      <c r="A95" s="6" t="s">
        <v>32</v>
      </c>
      <c r="B95" s="7"/>
      <c r="F95" s="26">
        <v>30</v>
      </c>
      <c r="G95" s="18" t="s">
        <v>121</v>
      </c>
      <c r="H95" s="37" t="s">
        <v>90</v>
      </c>
      <c r="I95" s="39" t="str">
        <f>_xll.EVDES(H95,$I$59)</f>
        <v>Myyntituotot</v>
      </c>
      <c r="J95" s="32">
        <f>_xll.EVGET($I$59,$J$78,$J$79,$H95,"TOT")</f>
        <v>0</v>
      </c>
      <c r="K95" s="32">
        <f>_xll.EVGET($I$59,$K$78,$K$79,$H95,"TOT")</f>
        <v>0</v>
      </c>
      <c r="L95" s="32">
        <f>_xll.EVGET($I$59,$L$78,$L$79,$H95,"TOT")</f>
        <v>0</v>
      </c>
      <c r="M95" s="30">
        <f>K95+L95</f>
        <v>0</v>
      </c>
      <c r="N95" s="32">
        <v>50491</v>
      </c>
      <c r="O95" s="32">
        <v>50491</v>
      </c>
      <c r="P95" s="32"/>
      <c r="Q95" s="32">
        <f>P95+O95</f>
        <v>50491</v>
      </c>
      <c r="R95" s="32">
        <v>50000</v>
      </c>
      <c r="S95" s="32">
        <v>50000</v>
      </c>
      <c r="T95" s="32">
        <v>65000</v>
      </c>
      <c r="U95" s="35"/>
    </row>
    <row r="96" spans="1:22" x14ac:dyDescent="0.25">
      <c r="A96" s="6" t="s">
        <v>33</v>
      </c>
      <c r="B96" s="7"/>
      <c r="F96" s="26">
        <v>32</v>
      </c>
      <c r="G96" s="18" t="s">
        <v>121</v>
      </c>
      <c r="H96" s="37" t="s">
        <v>91</v>
      </c>
      <c r="I96" s="39" t="str">
        <f>_xll.EVDES(H96,$I$59)</f>
        <v>Maksutuotot</v>
      </c>
      <c r="J96" s="32">
        <f>_xll.EVGET($I$59,$J$78,$J$79,$H96,"TOT")</f>
        <v>0</v>
      </c>
      <c r="K96" s="32">
        <f>_xll.EVGET($I$59,$K$78,$K$79,$H96,"TOT")</f>
        <v>0</v>
      </c>
      <c r="L96" s="32">
        <f>_xll.EVGET($I$59,$L$78,$L$79,$H96,"TOT")</f>
        <v>0</v>
      </c>
      <c r="M96" s="30">
        <f>K96+L96</f>
        <v>0</v>
      </c>
      <c r="N96" s="32">
        <v>2488892</v>
      </c>
      <c r="O96" s="32">
        <v>2488892</v>
      </c>
      <c r="P96" s="32"/>
      <c r="Q96" s="32">
        <f t="shared" ref="Q96:Q101" si="12">P96+O96</f>
        <v>2488892</v>
      </c>
      <c r="R96" s="32">
        <v>2877000</v>
      </c>
      <c r="S96" s="32">
        <v>2877000</v>
      </c>
      <c r="T96" s="32">
        <v>3235000</v>
      </c>
      <c r="U96" s="35"/>
    </row>
    <row r="97" spans="1:22" x14ac:dyDescent="0.25">
      <c r="A97" s="6" t="s">
        <v>34</v>
      </c>
      <c r="B97" s="7"/>
      <c r="F97" s="26">
        <v>33</v>
      </c>
      <c r="G97" s="18" t="s">
        <v>121</v>
      </c>
      <c r="H97" s="37" t="s">
        <v>92</v>
      </c>
      <c r="I97" s="39" t="str">
        <f>_xll.EVDES(H97,$I$59)</f>
        <v>Tuet ja avustukset</v>
      </c>
      <c r="J97" s="32">
        <f>_xll.EVGET($I$59,$J$78,$J$79,$H97,"TOT")</f>
        <v>0</v>
      </c>
      <c r="K97" s="32">
        <f>_xll.EVGET($I$59,$K$78,$K$79,$H97,"TOT")</f>
        <v>0</v>
      </c>
      <c r="L97" s="32">
        <f>_xll.EVGET($I$59,$L$78,$L$79,$H97,"TOT")</f>
        <v>0</v>
      </c>
      <c r="M97" s="30">
        <f>K97+L97</f>
        <v>0</v>
      </c>
      <c r="N97" s="32"/>
      <c r="O97" s="32"/>
      <c r="P97" s="32"/>
      <c r="Q97" s="32">
        <f t="shared" si="12"/>
        <v>0</v>
      </c>
      <c r="R97" s="32"/>
      <c r="S97" s="32"/>
      <c r="T97" s="32"/>
      <c r="U97" s="35"/>
    </row>
    <row r="98" spans="1:22" x14ac:dyDescent="0.25">
      <c r="A98" s="6" t="s">
        <v>35</v>
      </c>
      <c r="B98" s="7"/>
      <c r="G98" s="18" t="s">
        <v>121</v>
      </c>
      <c r="H98" s="37" t="s">
        <v>93</v>
      </c>
      <c r="I98" s="39" t="str">
        <f>_xll.EVDES(H98,$I$59)</f>
        <v>Vuokratuotot</v>
      </c>
      <c r="J98" s="32">
        <f>_xll.EVGET($I$59,$J$78,$J$79,$H98,"TOT")</f>
        <v>0</v>
      </c>
      <c r="K98" s="32">
        <f>_xll.EVGET($I$59,$K$78,$K$79,$H98,"TOT")</f>
        <v>0</v>
      </c>
      <c r="L98" s="32">
        <f>_xll.EVGET($I$59,$L$78,$L$79,$H98,"TOT")</f>
        <v>0</v>
      </c>
      <c r="M98" s="30">
        <f>K98+L98</f>
        <v>0</v>
      </c>
      <c r="N98" s="32">
        <v>782427</v>
      </c>
      <c r="O98" s="32">
        <v>782427</v>
      </c>
      <c r="P98" s="32"/>
      <c r="Q98" s="32">
        <f t="shared" si="12"/>
        <v>782427</v>
      </c>
      <c r="R98" s="32">
        <v>783000</v>
      </c>
      <c r="S98" s="32">
        <v>783000</v>
      </c>
      <c r="T98" s="32">
        <v>800000</v>
      </c>
      <c r="U98" s="35"/>
    </row>
    <row r="99" spans="1:22" x14ac:dyDescent="0.25">
      <c r="A99" s="6" t="s">
        <v>36</v>
      </c>
      <c r="B99" s="7"/>
      <c r="G99" s="18" t="s">
        <v>121</v>
      </c>
      <c r="H99" s="37" t="s">
        <v>94</v>
      </c>
      <c r="I99" s="39" t="str">
        <f>_xll.EVDES(H99,$I$59)</f>
        <v>Muut toimintatuotot</v>
      </c>
      <c r="J99" s="32">
        <f>_xll.EVGET($I$59,$J$78,$J$79,$H99,"TOT")</f>
        <v>0</v>
      </c>
      <c r="K99" s="32">
        <f>_xll.EVGET($I$59,$K$78,$K$79,$H99,"TOT")</f>
        <v>0</v>
      </c>
      <c r="L99" s="32">
        <f>_xll.EVGET($I$59,$L$78,$L$79,$H99,"TOT")</f>
        <v>0</v>
      </c>
      <c r="M99" s="30">
        <f>K99+L99</f>
        <v>0</v>
      </c>
      <c r="N99" s="32">
        <v>90319</v>
      </c>
      <c r="O99" s="32">
        <v>90319</v>
      </c>
      <c r="P99" s="32"/>
      <c r="Q99" s="32">
        <f t="shared" si="12"/>
        <v>90319</v>
      </c>
      <c r="R99" s="32">
        <v>90000</v>
      </c>
      <c r="S99" s="32">
        <v>90000</v>
      </c>
      <c r="T99" s="32">
        <v>100000</v>
      </c>
      <c r="U99" s="35"/>
    </row>
    <row r="100" spans="1:22" x14ac:dyDescent="0.25">
      <c r="A100" s="56" t="s">
        <v>37</v>
      </c>
      <c r="B100" s="57"/>
      <c r="G100" s="18" t="s">
        <v>121</v>
      </c>
      <c r="H100" s="37"/>
      <c r="I100" s="39" t="s">
        <v>74</v>
      </c>
      <c r="J100" s="32"/>
      <c r="K100" s="32"/>
      <c r="L100" s="32"/>
      <c r="M100" s="30"/>
      <c r="N100" s="32"/>
      <c r="O100" s="32"/>
      <c r="P100" s="32"/>
      <c r="Q100" s="32">
        <f t="shared" si="12"/>
        <v>0</v>
      </c>
      <c r="R100" s="32"/>
      <c r="S100" s="32"/>
      <c r="T100" s="32"/>
      <c r="U100" s="35"/>
    </row>
    <row r="101" spans="1:22" ht="15.75" thickBot="1" x14ac:dyDescent="0.3">
      <c r="A101" s="60" t="s">
        <v>38</v>
      </c>
      <c r="B101" s="61"/>
      <c r="C101" s="61"/>
      <c r="D101" s="61"/>
      <c r="E101" s="61"/>
      <c r="F101" s="62"/>
      <c r="G101" s="18" t="s">
        <v>121</v>
      </c>
      <c r="H101" s="16"/>
      <c r="I101" s="62" t="s">
        <v>78</v>
      </c>
      <c r="J101" s="44">
        <f>J95+J96+J97+J98+J99</f>
        <v>0</v>
      </c>
      <c r="K101" s="44">
        <f>K95+K96+K97+K98+K99</f>
        <v>0</v>
      </c>
      <c r="L101" s="44">
        <f>L95+L96+L97+L98+L99</f>
        <v>0</v>
      </c>
      <c r="M101" s="45">
        <f>K101+L101</f>
        <v>0</v>
      </c>
      <c r="N101" s="44">
        <f t="shared" ref="N101:P101" si="13">N95+N96+N97+N98+N99</f>
        <v>3412129</v>
      </c>
      <c r="O101" s="44">
        <f t="shared" si="13"/>
        <v>3412129</v>
      </c>
      <c r="P101" s="44">
        <f t="shared" si="13"/>
        <v>0</v>
      </c>
      <c r="Q101" s="44">
        <f t="shared" si="12"/>
        <v>3412129</v>
      </c>
      <c r="R101" s="44">
        <f t="shared" ref="R101:T101" si="14">R95+R96+R97+R98+R99</f>
        <v>3800000</v>
      </c>
      <c r="S101" s="44">
        <f t="shared" si="14"/>
        <v>3800000</v>
      </c>
      <c r="T101" s="44">
        <f t="shared" si="14"/>
        <v>4200000</v>
      </c>
      <c r="U101" s="35"/>
    </row>
    <row r="102" spans="1:22" ht="15.75" thickTop="1" x14ac:dyDescent="0.25">
      <c r="A102" s="58" t="s">
        <v>39</v>
      </c>
      <c r="B102" s="59"/>
      <c r="G102" s="18" t="s">
        <v>121</v>
      </c>
      <c r="H102" s="40" t="s">
        <v>71</v>
      </c>
      <c r="I102" s="39" t="s">
        <v>74</v>
      </c>
      <c r="J102" s="32"/>
      <c r="K102" s="32"/>
      <c r="L102" s="32"/>
      <c r="M102" s="30"/>
      <c r="N102" s="32"/>
      <c r="O102" s="32"/>
      <c r="P102" s="32"/>
      <c r="Q102" s="32"/>
      <c r="R102" s="32"/>
      <c r="S102" s="32"/>
      <c r="T102" s="32"/>
      <c r="U102" s="35"/>
    </row>
    <row r="103" spans="1:22" ht="15.75" thickBot="1" x14ac:dyDescent="0.3">
      <c r="A103" s="6" t="s">
        <v>40</v>
      </c>
      <c r="B103" s="7"/>
      <c r="F103" s="63">
        <v>37</v>
      </c>
      <c r="G103" s="18" t="s">
        <v>121</v>
      </c>
      <c r="H103" s="17" t="s">
        <v>95</v>
      </c>
      <c r="I103" s="39" t="str">
        <f>_xll.EVDES(H103,$I$59)</f>
        <v>Valmistus omaan kayttoon</v>
      </c>
      <c r="J103" s="32">
        <f>_xll.EVGET($I$59,$J$78,$J$79,$H103,"TOT")</f>
        <v>0</v>
      </c>
      <c r="K103" s="32">
        <f>_xll.EVGET($I$59,$K$78,$K$79,$H103,"TOT")</f>
        <v>0</v>
      </c>
      <c r="L103" s="32">
        <f>_xll.EVGET($I$59,$L$78,$L$79,$H103,"TOT")</f>
        <v>0</v>
      </c>
      <c r="M103" s="32">
        <f>K103+J103</f>
        <v>0</v>
      </c>
      <c r="N103" s="32"/>
      <c r="O103" s="32"/>
      <c r="P103" s="32"/>
      <c r="Q103" s="32">
        <f>P103+O103</f>
        <v>0</v>
      </c>
      <c r="R103" s="32"/>
      <c r="S103" s="32"/>
      <c r="T103" s="32"/>
      <c r="U103" s="35"/>
    </row>
    <row r="104" spans="1:22" ht="16.5" thickTop="1" thickBot="1" x14ac:dyDescent="0.3">
      <c r="A104" s="6" t="s">
        <v>41</v>
      </c>
      <c r="B104" s="7"/>
      <c r="G104" s="55" t="s">
        <v>121</v>
      </c>
      <c r="H104" s="40" t="s">
        <v>71</v>
      </c>
      <c r="I104" s="73" t="s">
        <v>74</v>
      </c>
      <c r="J104" s="32"/>
      <c r="K104" s="32"/>
      <c r="L104" s="32"/>
      <c r="M104" s="30"/>
      <c r="N104" s="32"/>
      <c r="O104" s="32"/>
      <c r="P104" s="32"/>
      <c r="Q104" s="32"/>
      <c r="R104" s="32"/>
      <c r="S104" s="32"/>
      <c r="T104" s="32"/>
      <c r="U104" s="35"/>
    </row>
    <row r="105" spans="1:22" ht="15.75" thickTop="1" x14ac:dyDescent="0.25">
      <c r="A105" s="6" t="s">
        <v>42</v>
      </c>
      <c r="B105" s="7"/>
      <c r="F105" s="26">
        <v>40</v>
      </c>
      <c r="G105" s="18" t="s">
        <v>121</v>
      </c>
      <c r="H105" s="37" t="s">
        <v>96</v>
      </c>
      <c r="I105" s="39" t="str">
        <f>_xll.EVDES(H105,$I$59)</f>
        <v>Henkilostokulut</v>
      </c>
      <c r="J105" s="32">
        <f>J106+J108</f>
        <v>0</v>
      </c>
      <c r="K105" s="32">
        <f>K106+K108</f>
        <v>0</v>
      </c>
      <c r="L105" s="32">
        <f>L106+L108</f>
        <v>0</v>
      </c>
      <c r="M105" s="30">
        <f>K105+J105</f>
        <v>0</v>
      </c>
      <c r="N105" s="32">
        <f>N106+N108</f>
        <v>1218679.5729705999</v>
      </c>
      <c r="O105" s="32">
        <f>O106+O108</f>
        <v>1218679.5729705999</v>
      </c>
      <c r="P105" s="32">
        <f>P106+P108</f>
        <v>0</v>
      </c>
      <c r="Q105" s="32">
        <f>P105+O105</f>
        <v>1218679.5729705999</v>
      </c>
      <c r="R105" s="32">
        <f>R106+R108</f>
        <v>4922000</v>
      </c>
      <c r="S105" s="32">
        <f>S106+S108</f>
        <v>4950000</v>
      </c>
      <c r="T105" s="32">
        <f>T106+T108</f>
        <v>5070000</v>
      </c>
      <c r="U105" s="35"/>
    </row>
    <row r="106" spans="1:22" ht="15.75" thickBot="1" x14ac:dyDescent="0.3">
      <c r="G106" s="55" t="s">
        <v>121</v>
      </c>
      <c r="H106" s="35"/>
      <c r="I106" s="41" t="s">
        <v>119</v>
      </c>
      <c r="J106" s="32">
        <f>_xll.EVGET($I$59,$J$78,$J$79,$H107,"TOT")+J111</f>
        <v>0</v>
      </c>
      <c r="K106" s="32">
        <f>_xll.EVGET($I$59,$K$78,$K$79,$H107,"TOT")+K111</f>
        <v>0</v>
      </c>
      <c r="L106" s="32">
        <f>_xll.EVGET($I$59,$L$78,$L$79,$H107,"TOT")+L111</f>
        <v>0</v>
      </c>
      <c r="M106" s="30">
        <f>K106+L106</f>
        <v>0</v>
      </c>
      <c r="N106" s="32">
        <f>_xll.EVGET($I$59,$N$78,$N$79,$H107)+N111</f>
        <v>0</v>
      </c>
      <c r="O106" s="32">
        <f>_xll.EVGET($I$59,$O$78,$O$79,$H107)+O111</f>
        <v>0</v>
      </c>
      <c r="P106" s="32">
        <f>_xll.EVGET($I$59,$P$78,$P$79,$H107)+P111</f>
        <v>0</v>
      </c>
      <c r="Q106" s="32">
        <f t="shared" ref="Q106" si="15">P106+O106</f>
        <v>0</v>
      </c>
      <c r="R106" s="32">
        <f>+R107+R111</f>
        <v>3700000</v>
      </c>
      <c r="S106" s="32">
        <f>+S107+S111</f>
        <v>3720000</v>
      </c>
      <c r="T106" s="32">
        <f>+T107+T111</f>
        <v>3800000</v>
      </c>
      <c r="U106" s="35"/>
    </row>
    <row r="107" spans="1:22" ht="15.75" thickTop="1" x14ac:dyDescent="0.25">
      <c r="G107" s="18" t="s">
        <v>121</v>
      </c>
      <c r="H107" s="37" t="s">
        <v>118</v>
      </c>
      <c r="I107" s="41" t="str">
        <f>_xll.EVDES(H107,$I$59)</f>
        <v>Palkat ja palkkiot</v>
      </c>
      <c r="J107" s="32"/>
      <c r="K107" s="32"/>
      <c r="L107" s="32"/>
      <c r="M107" s="30"/>
      <c r="N107" s="32">
        <v>3637718.426</v>
      </c>
      <c r="O107" s="32">
        <v>3637718.426</v>
      </c>
      <c r="P107" s="32"/>
      <c r="Q107" s="32"/>
      <c r="R107" s="32">
        <v>3700000</v>
      </c>
      <c r="S107" s="32">
        <v>3720000</v>
      </c>
      <c r="T107" s="32">
        <v>3800000</v>
      </c>
      <c r="U107" s="35"/>
    </row>
    <row r="108" spans="1:22" ht="21.75" customHeight="1" x14ac:dyDescent="0.25">
      <c r="F108" s="26">
        <v>410</v>
      </c>
      <c r="G108" s="18" t="s">
        <v>121</v>
      </c>
      <c r="H108" s="35"/>
      <c r="I108" s="41" t="s">
        <v>77</v>
      </c>
      <c r="J108" s="32">
        <f>J109+J110</f>
        <v>0</v>
      </c>
      <c r="K108" s="32">
        <f>K109+K110</f>
        <v>0</v>
      </c>
      <c r="L108" s="32">
        <f>L109+L110</f>
        <v>0</v>
      </c>
      <c r="M108" s="30">
        <f t="shared" ref="M108:M111" si="16">K108+L108</f>
        <v>0</v>
      </c>
      <c r="N108" s="32">
        <f>N109+N110</f>
        <v>1218679.5729705999</v>
      </c>
      <c r="O108" s="32">
        <f>O109+O110</f>
        <v>1218679.5729705999</v>
      </c>
      <c r="P108" s="32">
        <f>P109+P110</f>
        <v>0</v>
      </c>
      <c r="Q108" s="32">
        <f>Q109+Q110+Q111</f>
        <v>5368270.9800000004</v>
      </c>
      <c r="R108" s="32">
        <f>R109+R110</f>
        <v>1222000</v>
      </c>
      <c r="S108" s="32">
        <f>S109+S110</f>
        <v>1230000</v>
      </c>
      <c r="T108" s="32">
        <f>T109+T110</f>
        <v>1270000</v>
      </c>
      <c r="U108" s="35"/>
    </row>
    <row r="109" spans="1:22" ht="21" customHeight="1" x14ac:dyDescent="0.25">
      <c r="F109" s="26">
        <v>415</v>
      </c>
      <c r="G109" s="18" t="s">
        <v>121</v>
      </c>
      <c r="H109" s="37" t="s">
        <v>97</v>
      </c>
      <c r="I109" s="41" t="str">
        <f>_xll.EVDES(H109,$I$59)</f>
        <v>Elakekulut</v>
      </c>
      <c r="J109" s="32">
        <f>_xll.EVGET($I$59,$J$78,$J$79,$H109,"TOT")</f>
        <v>0</v>
      </c>
      <c r="K109" s="32">
        <f>_xll.EVGET($I$59,$K$78,$K$79,$H109,"TOT")</f>
        <v>0</v>
      </c>
      <c r="L109" s="32">
        <f>_xll.EVGET($I$59,$L$78,$L$79,$H109,"TOT")</f>
        <v>0</v>
      </c>
      <c r="M109" s="30">
        <f t="shared" si="16"/>
        <v>0</v>
      </c>
      <c r="N109" s="32">
        <v>990958.39950299996</v>
      </c>
      <c r="O109" s="32">
        <v>990958.39950299996</v>
      </c>
      <c r="P109" s="32"/>
      <c r="Q109" s="32">
        <f>Q110+Q111-Q112</f>
        <v>2684135.4900000002</v>
      </c>
      <c r="R109" s="32">
        <v>992000</v>
      </c>
      <c r="S109" s="32">
        <v>1000000</v>
      </c>
      <c r="T109" s="32">
        <v>1020000</v>
      </c>
      <c r="U109" s="35"/>
    </row>
    <row r="110" spans="1:22" ht="21" customHeight="1" x14ac:dyDescent="0.25">
      <c r="F110" s="26">
        <v>423</v>
      </c>
      <c r="G110" s="18" t="s">
        <v>121</v>
      </c>
      <c r="H110" s="37" t="s">
        <v>98</v>
      </c>
      <c r="I110" s="41" t="str">
        <f>_xll.EVDES(H110,$I$59)</f>
        <v>Muut henkilostosivukulut</v>
      </c>
      <c r="J110" s="32">
        <f>_xll.EVGET($I$59,$J$78,$J$79,$H110,"TOT")</f>
        <v>0</v>
      </c>
      <c r="K110" s="32">
        <f>_xll.EVGET($I$59,$K$78,$K$79,$H110,"TOT")</f>
        <v>0</v>
      </c>
      <c r="L110" s="32">
        <f>_xll.EVGET($I$59,$L$78,$L$79,$H110,"TOT")</f>
        <v>0</v>
      </c>
      <c r="M110" s="30">
        <f t="shared" si="16"/>
        <v>0</v>
      </c>
      <c r="N110" s="32">
        <v>227721.17346759999</v>
      </c>
      <c r="O110" s="32">
        <v>227721.17346759999</v>
      </c>
      <c r="P110" s="32"/>
      <c r="Q110" s="32">
        <f>Q111+Q112-Q113</f>
        <v>0</v>
      </c>
      <c r="R110" s="32">
        <v>230000</v>
      </c>
      <c r="S110" s="32">
        <v>230000</v>
      </c>
      <c r="T110" s="32">
        <v>250000</v>
      </c>
      <c r="U110" s="35"/>
      <c r="V110" s="81"/>
    </row>
    <row r="111" spans="1:22" x14ac:dyDescent="0.25">
      <c r="G111" s="18" t="s">
        <v>121</v>
      </c>
      <c r="H111" s="37" t="s">
        <v>99</v>
      </c>
      <c r="I111" s="41" t="str">
        <f>_xll.EVDES(H111,$I$59)</f>
        <v>Hlostokorvaukset &amp; -menojen korjauserat</v>
      </c>
      <c r="J111" s="32">
        <f>_xll.EVGET($I$59,$J$78,$J$79,$H111,"TOT")</f>
        <v>0</v>
      </c>
      <c r="K111" s="32">
        <f>_xll.EVGET($I$59,$K$78,$K$79,$H111,"TOT")</f>
        <v>0</v>
      </c>
      <c r="L111" s="32">
        <f>_xll.EVGET($I$59,$L$78,$L$79,$H111,"TOT")</f>
        <v>0</v>
      </c>
      <c r="M111" s="30">
        <f t="shared" si="16"/>
        <v>0</v>
      </c>
      <c r="N111" s="32"/>
      <c r="O111" s="32"/>
      <c r="P111" s="32"/>
      <c r="Q111" s="32">
        <f>Q112+Q113-Q114</f>
        <v>2684135.4900000002</v>
      </c>
      <c r="R111" s="32"/>
      <c r="S111" s="32"/>
      <c r="T111" s="32"/>
      <c r="U111" s="35"/>
    </row>
    <row r="112" spans="1:22" x14ac:dyDescent="0.25">
      <c r="F112" s="26">
        <v>43</v>
      </c>
      <c r="G112" s="18" t="s">
        <v>121</v>
      </c>
      <c r="H112" s="37"/>
      <c r="I112" s="41" t="s">
        <v>74</v>
      </c>
      <c r="J112" s="32"/>
      <c r="K112" s="32"/>
      <c r="L112" s="32"/>
      <c r="M112" s="30"/>
      <c r="N112" s="32"/>
      <c r="O112" s="32"/>
      <c r="P112" s="32"/>
      <c r="Q112" s="32"/>
      <c r="R112" s="32"/>
      <c r="S112" s="32"/>
      <c r="T112" s="32"/>
      <c r="U112" s="35"/>
    </row>
    <row r="113" spans="6:21" x14ac:dyDescent="0.25">
      <c r="F113" s="27">
        <v>430</v>
      </c>
      <c r="G113" s="18" t="s">
        <v>121</v>
      </c>
      <c r="H113" s="37" t="s">
        <v>100</v>
      </c>
      <c r="I113" s="39" t="str">
        <f>_xll.EVDES(H113,$I$59)</f>
        <v>Palvelujen ostot</v>
      </c>
      <c r="J113" s="32">
        <f>_xll.EVGET($I$59,$J$78,$J$79,$H113,"TOT")</f>
        <v>0</v>
      </c>
      <c r="K113" s="32">
        <f>_xll.EVGET($I$59,$K$78,$K$79,$H113,"TOT")</f>
        <v>0</v>
      </c>
      <c r="L113" s="32">
        <f>_xll.EVGET($I$59,$L$78,$L$79,$H113,"TOT")</f>
        <v>0</v>
      </c>
      <c r="M113" s="30">
        <f t="shared" ref="M113:M119" si="17">K113+L113</f>
        <v>0</v>
      </c>
      <c r="N113" s="32">
        <v>2684135.4900000002</v>
      </c>
      <c r="O113" s="32">
        <v>2684135.4900000002</v>
      </c>
      <c r="P113" s="32"/>
      <c r="Q113" s="32">
        <f t="shared" ref="Q113:Q119" si="18">P113+O113</f>
        <v>2684135.4900000002</v>
      </c>
      <c r="R113" s="32">
        <v>2950000</v>
      </c>
      <c r="S113" s="32">
        <v>3179000</v>
      </c>
      <c r="T113" s="32">
        <v>3457000</v>
      </c>
      <c r="U113" s="35"/>
    </row>
    <row r="114" spans="6:21" x14ac:dyDescent="0.25">
      <c r="F114" s="27">
        <v>434</v>
      </c>
      <c r="G114" s="18" t="s">
        <v>121</v>
      </c>
      <c r="H114" s="37" t="s">
        <v>101</v>
      </c>
      <c r="I114" s="41" t="str">
        <f>_xll.EVDES(H114,$I$59)</f>
        <v>Asiakaspalvelujen ostot</v>
      </c>
      <c r="J114" s="32">
        <f>_xll.EVGET($I$59,$J$78,$J$79,$H114,"TOT")</f>
        <v>0</v>
      </c>
      <c r="K114" s="32">
        <f>_xll.EVGET($I$59,$K$78,$K$79,$H114,"TOT")</f>
        <v>0</v>
      </c>
      <c r="L114" s="32">
        <f>_xll.EVGET($I$59,$L$78,$L$79,$H114,"TOT")</f>
        <v>0</v>
      </c>
      <c r="M114" s="30">
        <f t="shared" si="17"/>
        <v>0</v>
      </c>
      <c r="N114" s="32"/>
      <c r="O114" s="32"/>
      <c r="P114" s="32"/>
      <c r="Q114" s="32">
        <f t="shared" si="18"/>
        <v>0</v>
      </c>
      <c r="R114" s="32"/>
      <c r="S114" s="32"/>
      <c r="T114" s="32"/>
      <c r="U114" s="35"/>
    </row>
    <row r="115" spans="6:21" x14ac:dyDescent="0.25">
      <c r="F115" s="26">
        <v>45</v>
      </c>
      <c r="G115" s="18" t="s">
        <v>121</v>
      </c>
      <c r="H115" s="37" t="s">
        <v>102</v>
      </c>
      <c r="I115" s="41" t="str">
        <f>_xll.EVDES(H115,$I$59)</f>
        <v>Muiden palvelujen ostot</v>
      </c>
      <c r="J115" s="32">
        <f>_xll.EVGET($I$59,$J$78,$J$79,$H115,"TOT")</f>
        <v>0</v>
      </c>
      <c r="K115" s="32">
        <f>_xll.EVGET($I$59,$K$78,$K$79,$H115,"TOT")</f>
        <v>0</v>
      </c>
      <c r="L115" s="32">
        <f>_xll.EVGET($I$59,$L$78,$L$79,$H115,"TOT")</f>
        <v>0</v>
      </c>
      <c r="M115" s="30">
        <f t="shared" si="17"/>
        <v>0</v>
      </c>
      <c r="N115" s="32">
        <v>2684135.4900000002</v>
      </c>
      <c r="O115" s="32">
        <v>2684135.4900000002</v>
      </c>
      <c r="P115" s="32"/>
      <c r="Q115" s="32">
        <f t="shared" si="18"/>
        <v>2684135.4900000002</v>
      </c>
      <c r="R115" s="32">
        <v>2950000</v>
      </c>
      <c r="S115" s="32">
        <v>3179000</v>
      </c>
      <c r="T115" s="32">
        <v>3457000</v>
      </c>
      <c r="U115" s="35"/>
    </row>
    <row r="116" spans="6:21" x14ac:dyDescent="0.25">
      <c r="F116" s="26">
        <v>47</v>
      </c>
      <c r="G116" s="18" t="s">
        <v>121</v>
      </c>
      <c r="H116" s="37" t="s">
        <v>103</v>
      </c>
      <c r="I116" s="39" t="str">
        <f>_xll.EVDES(H116,$I$59)</f>
        <v>Aineet, tarvikkeet ja tavarat</v>
      </c>
      <c r="J116" s="32">
        <f>_xll.EVGET($I$59,$J$78,$J$79,$H116,"TOT")</f>
        <v>0</v>
      </c>
      <c r="K116" s="32">
        <f>_xll.EVGET($I$59,$K$78,$K$79,$H116,"TOT")</f>
        <v>0</v>
      </c>
      <c r="L116" s="32">
        <f>_xll.EVGET($I$59,$L$78,$L$79,$H116,"TOT")</f>
        <v>0</v>
      </c>
      <c r="M116" s="30">
        <f t="shared" si="17"/>
        <v>0</v>
      </c>
      <c r="N116" s="32">
        <v>1835138.51</v>
      </c>
      <c r="O116" s="32">
        <v>1835138.51</v>
      </c>
      <c r="P116" s="32"/>
      <c r="Q116" s="32">
        <f t="shared" si="18"/>
        <v>1835138.51</v>
      </c>
      <c r="R116" s="32">
        <v>2167000</v>
      </c>
      <c r="S116" s="32">
        <v>2200000</v>
      </c>
      <c r="T116" s="32">
        <v>2300000</v>
      </c>
      <c r="U116" s="35"/>
    </row>
    <row r="117" spans="6:21" x14ac:dyDescent="0.25">
      <c r="F117" s="26">
        <v>480</v>
      </c>
      <c r="G117" s="18" t="s">
        <v>121</v>
      </c>
      <c r="H117" s="37" t="s">
        <v>104</v>
      </c>
      <c r="I117" s="39" t="str">
        <f>_xll.EVDES(H117,$I$59)</f>
        <v>Avustukset</v>
      </c>
      <c r="J117" s="32">
        <f>_xll.EVGET($I$59,$J$78,$J$79,$H117,"TOT")</f>
        <v>0</v>
      </c>
      <c r="K117" s="32">
        <f>_xll.EVGET($I$59,$K$78,$K$79,$H117,"TOT")</f>
        <v>0</v>
      </c>
      <c r="L117" s="32">
        <f>_xll.EVGET($I$59,$L$78,$L$79,$H117,"TOT")</f>
        <v>0</v>
      </c>
      <c r="M117" s="30">
        <f t="shared" si="17"/>
        <v>0</v>
      </c>
      <c r="N117" s="32">
        <v>1525000</v>
      </c>
      <c r="O117" s="32">
        <v>1525000</v>
      </c>
      <c r="P117" s="32"/>
      <c r="Q117" s="32">
        <f t="shared" si="18"/>
        <v>1525000</v>
      </c>
      <c r="R117" s="32">
        <v>1680000</v>
      </c>
      <c r="S117" s="32">
        <v>1680000</v>
      </c>
      <c r="T117" s="32">
        <v>1690000</v>
      </c>
      <c r="U117" s="35"/>
    </row>
    <row r="118" spans="6:21" x14ac:dyDescent="0.25">
      <c r="F118" s="26">
        <v>490</v>
      </c>
      <c r="G118" s="18" t="s">
        <v>121</v>
      </c>
      <c r="H118" s="37" t="s">
        <v>105</v>
      </c>
      <c r="I118" s="39" t="str">
        <f>_xll.EVDES(H118,$I$59)</f>
        <v>Vuokrat</v>
      </c>
      <c r="J118" s="32">
        <f>_xll.EVGET($I$59,$J$78,$J$79,$H118,"TOT")</f>
        <v>0</v>
      </c>
      <c r="K118" s="32">
        <f>_xll.EVGET($I$59,$K$78,$K$79,$H118,"TOT")</f>
        <v>0</v>
      </c>
      <c r="L118" s="32">
        <f>_xll.EVGET($I$59,$L$78,$L$79,$H118,"TOT")</f>
        <v>0</v>
      </c>
      <c r="M118" s="30">
        <f t="shared" si="17"/>
        <v>0</v>
      </c>
      <c r="N118" s="32">
        <v>11127134.002</v>
      </c>
      <c r="O118" s="32">
        <v>11127134.002</v>
      </c>
      <c r="P118" s="32"/>
      <c r="Q118" s="32">
        <f t="shared" si="18"/>
        <v>11127134.002</v>
      </c>
      <c r="R118" s="32">
        <v>11400000</v>
      </c>
      <c r="S118" s="32">
        <v>11410000</v>
      </c>
      <c r="T118" s="32">
        <v>11500000</v>
      </c>
      <c r="U118" s="35"/>
    </row>
    <row r="119" spans="6:21" x14ac:dyDescent="0.25">
      <c r="G119" s="18" t="s">
        <v>121</v>
      </c>
      <c r="H119" s="37" t="s">
        <v>106</v>
      </c>
      <c r="I119" s="39" t="str">
        <f>_xll.EVDES(H119,$I$59)</f>
        <v>Muut toimintakulut</v>
      </c>
      <c r="J119" s="32">
        <f>_xll.EVGET($I$59,$J$78,$J$79,$H119,"TOT")</f>
        <v>0</v>
      </c>
      <c r="K119" s="32">
        <f>_xll.EVGET($I$59,$K$78,$K$79,$H119,"TOT")</f>
        <v>0</v>
      </c>
      <c r="L119" s="32">
        <f>_xll.EVGET($I$59,$L$78,$L$79,$H119,"TOT")</f>
        <v>0</v>
      </c>
      <c r="M119" s="30">
        <f t="shared" si="17"/>
        <v>0</v>
      </c>
      <c r="N119" s="32">
        <v>47656</v>
      </c>
      <c r="O119" s="32">
        <v>47656</v>
      </c>
      <c r="P119" s="32"/>
      <c r="Q119" s="32">
        <f t="shared" si="18"/>
        <v>47656</v>
      </c>
      <c r="R119" s="32">
        <v>81000</v>
      </c>
      <c r="S119" s="32">
        <v>81000</v>
      </c>
      <c r="T119" s="32">
        <v>83000</v>
      </c>
      <c r="U119" s="35"/>
    </row>
    <row r="120" spans="6:21" ht="15.75" thickBot="1" x14ac:dyDescent="0.3">
      <c r="F120" s="62"/>
      <c r="G120" s="18" t="s">
        <v>121</v>
      </c>
      <c r="H120" s="37"/>
      <c r="I120" s="42" t="s">
        <v>74</v>
      </c>
      <c r="J120" s="32"/>
      <c r="K120" s="32"/>
      <c r="L120" s="32"/>
      <c r="M120" s="30"/>
      <c r="N120" s="32"/>
      <c r="O120" s="32"/>
      <c r="P120" s="32"/>
      <c r="Q120" s="32"/>
      <c r="R120" s="32"/>
      <c r="S120" s="32"/>
      <c r="T120" s="32"/>
      <c r="U120" s="35"/>
    </row>
    <row r="121" spans="6:21" ht="16.5" thickTop="1" thickBot="1" x14ac:dyDescent="0.3">
      <c r="G121" s="18" t="s">
        <v>121</v>
      </c>
      <c r="H121" s="16" t="s">
        <v>60</v>
      </c>
      <c r="I121" s="46" t="str">
        <f>_xll.EVDES(H121,$I$59)</f>
        <v>Toimintakulut</v>
      </c>
      <c r="J121" s="44">
        <f t="shared" ref="J121:T121" si="19">J105+J113+J116+J117+J118+J119</f>
        <v>0</v>
      </c>
      <c r="K121" s="44">
        <f t="shared" si="19"/>
        <v>0</v>
      </c>
      <c r="L121" s="44">
        <f t="shared" si="19"/>
        <v>0</v>
      </c>
      <c r="M121" s="44">
        <f t="shared" si="19"/>
        <v>0</v>
      </c>
      <c r="N121" s="44">
        <f t="shared" si="19"/>
        <v>18437743.574970599</v>
      </c>
      <c r="O121" s="44">
        <f t="shared" si="19"/>
        <v>18437743.574970599</v>
      </c>
      <c r="P121" s="44">
        <f t="shared" si="19"/>
        <v>0</v>
      </c>
      <c r="Q121" s="44">
        <f t="shared" si="19"/>
        <v>18437743.574970599</v>
      </c>
      <c r="R121" s="44">
        <f t="shared" si="19"/>
        <v>23200000</v>
      </c>
      <c r="S121" s="44">
        <f t="shared" si="19"/>
        <v>23500000</v>
      </c>
      <c r="T121" s="44">
        <f t="shared" si="19"/>
        <v>24100000</v>
      </c>
      <c r="U121" s="35"/>
    </row>
    <row r="122" spans="6:21" ht="16.5" thickTop="1" thickBot="1" x14ac:dyDescent="0.3">
      <c r="F122" s="62"/>
      <c r="G122" s="18" t="s">
        <v>121</v>
      </c>
      <c r="H122" s="37"/>
      <c r="I122" s="39" t="s">
        <v>74</v>
      </c>
      <c r="J122" s="32"/>
      <c r="K122" s="32"/>
      <c r="L122" s="32"/>
      <c r="M122" s="30" t="s">
        <v>74</v>
      </c>
      <c r="N122" s="29"/>
      <c r="O122" s="32"/>
      <c r="P122" s="29"/>
      <c r="Q122" s="29"/>
      <c r="R122" s="32"/>
      <c r="S122" s="32"/>
      <c r="T122" s="32"/>
      <c r="U122" s="35"/>
    </row>
    <row r="123" spans="6:21" ht="16.5" thickTop="1" thickBot="1" x14ac:dyDescent="0.3">
      <c r="G123" s="18" t="s">
        <v>121</v>
      </c>
      <c r="H123" s="16" t="s">
        <v>61</v>
      </c>
      <c r="I123" s="46" t="str">
        <f>_xll.EVDES(H123,$I$59)</f>
        <v>Toimintakate</v>
      </c>
      <c r="J123" s="44">
        <f t="shared" ref="J123:T123" si="20">J101+J103-J121</f>
        <v>0</v>
      </c>
      <c r="K123" s="44">
        <f t="shared" si="20"/>
        <v>0</v>
      </c>
      <c r="L123" s="44">
        <f t="shared" si="20"/>
        <v>0</v>
      </c>
      <c r="M123" s="44">
        <f t="shared" si="20"/>
        <v>0</v>
      </c>
      <c r="N123" s="44">
        <f t="shared" si="20"/>
        <v>-15025614.574970599</v>
      </c>
      <c r="O123" s="44">
        <f t="shared" si="20"/>
        <v>-15025614.574970599</v>
      </c>
      <c r="P123" s="44">
        <f t="shared" si="20"/>
        <v>0</v>
      </c>
      <c r="Q123" s="44">
        <f t="shared" si="20"/>
        <v>-15025614.574970599</v>
      </c>
      <c r="R123" s="44">
        <f t="shared" si="20"/>
        <v>-19400000</v>
      </c>
      <c r="S123" s="44">
        <f t="shared" si="20"/>
        <v>-19700000</v>
      </c>
      <c r="T123" s="44">
        <f t="shared" si="20"/>
        <v>-19900000</v>
      </c>
      <c r="U123" s="35"/>
    </row>
    <row r="124" spans="6:21" ht="15.75" thickTop="1" x14ac:dyDescent="0.25">
      <c r="F124" s="26">
        <v>70</v>
      </c>
      <c r="G124" s="18" t="s">
        <v>121</v>
      </c>
      <c r="H124" s="37"/>
      <c r="I124" s="73" t="s">
        <v>74</v>
      </c>
      <c r="J124" s="32"/>
      <c r="K124" s="32"/>
      <c r="L124" s="32"/>
      <c r="M124" s="30"/>
      <c r="N124" s="32"/>
      <c r="O124" s="32"/>
      <c r="P124" s="32"/>
      <c r="Q124" s="32"/>
      <c r="R124" s="32"/>
      <c r="S124" s="32"/>
      <c r="T124" s="32"/>
      <c r="U124" s="35"/>
    </row>
    <row r="125" spans="6:21" x14ac:dyDescent="0.25">
      <c r="F125" s="26">
        <v>80</v>
      </c>
      <c r="G125" s="18" t="s">
        <v>121</v>
      </c>
      <c r="H125" s="37" t="s">
        <v>110</v>
      </c>
      <c r="I125" s="39" t="str">
        <f>_xll.EVDES(H125,$I$59)</f>
        <v>Verotulot ja valtionosuudet</v>
      </c>
      <c r="J125" s="32">
        <f>_xll.EVGET($I$59,$J$78,$J$79,$H125,"TOT")</f>
        <v>0</v>
      </c>
      <c r="K125" s="32">
        <f>_xll.EVGET($I$59,$K$78,$K$79,$H125,"TOT")</f>
        <v>0</v>
      </c>
      <c r="L125" s="32">
        <f>_xll.EVGET($I$59,$L$78,$L$79,$H125,"TOT")</f>
        <v>0</v>
      </c>
      <c r="M125" s="30">
        <f>K125+L125</f>
        <v>0</v>
      </c>
      <c r="N125" s="32"/>
      <c r="O125" s="32"/>
      <c r="P125" s="32"/>
      <c r="Q125" s="32">
        <f>P125+O125</f>
        <v>0</v>
      </c>
      <c r="R125" s="32"/>
      <c r="S125" s="32"/>
      <c r="T125" s="32"/>
      <c r="U125" s="35"/>
    </row>
    <row r="126" spans="6:21" x14ac:dyDescent="0.25">
      <c r="F126" s="26">
        <v>85</v>
      </c>
      <c r="G126" s="18" t="s">
        <v>121</v>
      </c>
      <c r="H126" s="37" t="s">
        <v>111</v>
      </c>
      <c r="I126" s="39" t="str">
        <f>_xll.EVDES(H126,$I$59)</f>
        <v>Rahoitustuotot ja -kulut</v>
      </c>
      <c r="J126" s="32">
        <f>_xll.EVGET($I$59,$J$78,$J$79,$H126,"TOT")</f>
        <v>0</v>
      </c>
      <c r="K126" s="32">
        <f>_xll.EVGET($I$59,$K$78,$K$79,$H126,"TOT")</f>
        <v>0</v>
      </c>
      <c r="L126" s="32">
        <f>_xll.EVGET($I$59,$L$78,$L$79,$H126,"TOT")</f>
        <v>0</v>
      </c>
      <c r="M126" s="30">
        <f>K126+L126</f>
        <v>0</v>
      </c>
      <c r="N126" s="32"/>
      <c r="O126" s="32"/>
      <c r="P126" s="32"/>
      <c r="Q126" s="32">
        <f>P126+O126</f>
        <v>0</v>
      </c>
      <c r="R126" s="32"/>
      <c r="S126" s="32"/>
      <c r="T126" s="32"/>
      <c r="U126" s="35"/>
    </row>
    <row r="127" spans="6:21" x14ac:dyDescent="0.25">
      <c r="G127" s="18" t="s">
        <v>121</v>
      </c>
      <c r="H127" s="37" t="s">
        <v>107</v>
      </c>
      <c r="I127" s="39" t="str">
        <f>_xll.EVDES(H127,$I$59)</f>
        <v>Poistot ja arvonalentumiset</v>
      </c>
      <c r="J127" s="32">
        <f>_xll.EVGET($I$59,$J$78,$J$79,$H127,"TOT")</f>
        <v>0</v>
      </c>
      <c r="K127" s="32">
        <f>_xll.EVGET($I$59,$K$78,$K$79,$H127,"TOT")</f>
        <v>0</v>
      </c>
      <c r="L127" s="32">
        <f>_xll.EVGET($I$59,$L$78,$L$79,$H127,"TOT")</f>
        <v>0</v>
      </c>
      <c r="M127" s="30">
        <f>K127+L127</f>
        <v>0</v>
      </c>
      <c r="N127" s="32">
        <v>190654</v>
      </c>
      <c r="O127" s="32">
        <v>190654</v>
      </c>
      <c r="P127" s="32"/>
      <c r="Q127" s="32">
        <f>P127+O127</f>
        <v>190654</v>
      </c>
      <c r="R127" s="32"/>
      <c r="S127" s="32"/>
      <c r="T127" s="32"/>
      <c r="U127" s="35"/>
    </row>
    <row r="128" spans="6:21" ht="15.75" thickBot="1" x14ac:dyDescent="0.3">
      <c r="F128" s="62"/>
      <c r="G128" s="18" t="s">
        <v>121</v>
      </c>
      <c r="H128" s="37" t="s">
        <v>108</v>
      </c>
      <c r="I128" s="39" t="str">
        <f>_xll.EVDES(H128,$I$59)</f>
        <v>Satunnaiset tuotot ja kulut</v>
      </c>
      <c r="J128" s="32">
        <f>_xll.EVGET($I$59,$J$78,$J$79,$H128,"TOT")</f>
        <v>0</v>
      </c>
      <c r="K128" s="32">
        <f>_xll.EVGET($I$59,$K$78,$K$79,$H128,"TOT")</f>
        <v>0</v>
      </c>
      <c r="L128" s="32">
        <f>_xll.EVGET($I$59,$L$78,$L$79,$H128,"TOT")</f>
        <v>0</v>
      </c>
      <c r="M128" s="30">
        <f>K128+L128</f>
        <v>0</v>
      </c>
      <c r="N128" s="32"/>
      <c r="O128" s="32"/>
      <c r="P128" s="32"/>
      <c r="Q128" s="32">
        <f>P128+O128</f>
        <v>0</v>
      </c>
      <c r="R128" s="32"/>
      <c r="S128" s="32"/>
      <c r="T128" s="32"/>
      <c r="U128" s="35"/>
    </row>
    <row r="129" spans="6:21" ht="15.75" thickTop="1" x14ac:dyDescent="0.25">
      <c r="G129" s="18" t="s">
        <v>121</v>
      </c>
      <c r="H129" s="37" t="s">
        <v>109</v>
      </c>
      <c r="I129" s="39" t="str">
        <f>_xll.EVDES(H129,$I$59)</f>
        <v>Varausten ja rahastojen muutokset</v>
      </c>
      <c r="J129" s="32">
        <f>_xll.EVGET($I$59,$J$78,$J$79,$H129,"TOT")</f>
        <v>0</v>
      </c>
      <c r="K129" s="32">
        <f>_xll.EVGET($I$59,$K$78,$K$79,$H129,"TOT")</f>
        <v>0</v>
      </c>
      <c r="L129" s="32">
        <f>_xll.EVGET($I$59,$L$78,$L$79,$H129,"TOT")</f>
        <v>0</v>
      </c>
      <c r="M129" s="30">
        <f>K129+L129</f>
        <v>0</v>
      </c>
      <c r="N129" s="32"/>
      <c r="O129" s="32"/>
      <c r="P129" s="32"/>
      <c r="Q129" s="32">
        <f>P129+O129</f>
        <v>0</v>
      </c>
      <c r="R129" s="32"/>
      <c r="S129" s="32"/>
      <c r="T129" s="32"/>
      <c r="U129" s="35"/>
    </row>
    <row r="130" spans="6:21" x14ac:dyDescent="0.25">
      <c r="F130" s="64"/>
      <c r="G130" s="18" t="s">
        <v>121</v>
      </c>
      <c r="H130" s="37"/>
      <c r="I130" s="38" t="s">
        <v>74</v>
      </c>
      <c r="J130" s="32"/>
      <c r="K130" s="32"/>
      <c r="L130" s="32"/>
      <c r="M130" s="30"/>
      <c r="N130" s="32"/>
      <c r="O130" s="32"/>
      <c r="P130" s="32"/>
      <c r="Q130" s="32"/>
      <c r="R130" s="32"/>
      <c r="S130" s="32"/>
      <c r="T130" s="32"/>
      <c r="U130" s="35"/>
    </row>
    <row r="131" spans="6:21" ht="15.75" thickBot="1" x14ac:dyDescent="0.3">
      <c r="F131" s="62"/>
      <c r="G131" s="55" t="s">
        <v>121</v>
      </c>
      <c r="H131" s="16"/>
      <c r="I131" s="63" t="s">
        <v>62</v>
      </c>
      <c r="J131" s="44">
        <f>J123-J127+J128+J129+J126+J125</f>
        <v>0</v>
      </c>
      <c r="K131" s="44">
        <f t="shared" ref="K131:T131" si="21">K123-K127+K128+K129+K126+K125</f>
        <v>0</v>
      </c>
      <c r="L131" s="44">
        <f t="shared" si="21"/>
        <v>0</v>
      </c>
      <c r="M131" s="44">
        <f t="shared" si="21"/>
        <v>0</v>
      </c>
      <c r="N131" s="44">
        <f t="shared" si="21"/>
        <v>-15216268.574970599</v>
      </c>
      <c r="O131" s="44">
        <f t="shared" si="21"/>
        <v>-15216268.574970599</v>
      </c>
      <c r="P131" s="44">
        <f t="shared" si="21"/>
        <v>0</v>
      </c>
      <c r="Q131" s="44">
        <f t="shared" si="21"/>
        <v>-15216268.574970599</v>
      </c>
      <c r="R131" s="44">
        <f t="shared" si="21"/>
        <v>-19400000</v>
      </c>
      <c r="S131" s="44">
        <f t="shared" si="21"/>
        <v>-19700000</v>
      </c>
      <c r="T131" s="44">
        <f t="shared" si="21"/>
        <v>-19900000</v>
      </c>
      <c r="U131" s="35"/>
    </row>
    <row r="132" spans="6:21" ht="15.75" thickTop="1" x14ac:dyDescent="0.25">
      <c r="G132" s="18" t="s">
        <v>121</v>
      </c>
      <c r="H132" s="37"/>
      <c r="I132" s="73" t="s">
        <v>74</v>
      </c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5"/>
    </row>
    <row r="133" spans="6:21" x14ac:dyDescent="0.25">
      <c r="F133" s="53"/>
      <c r="G133" s="65" t="s">
        <v>121</v>
      </c>
      <c r="H133" s="16"/>
      <c r="I133" s="67" t="s">
        <v>87</v>
      </c>
      <c r="J133" s="34">
        <f>_xll.EVGET($I$59,J$78,$I$62,$I$63,$I$64,$I$66,J$79,$I$69,"YHT","TILI:3","VERSIO:TOT")</f>
        <v>0</v>
      </c>
      <c r="K133" s="34">
        <f>_xll.EVGET($I$59,K$78,$I$62,$I$63,$I$64,$I$66,K$79,$I$69,"YHT","TILI:3","VERSIO:TOT")</f>
        <v>0</v>
      </c>
      <c r="L133" s="34">
        <f>_xll.EVGET($I$59,L$78,$I$62,$I$63,$I$64,$I$66,L$79,$I$69,"YHT","TILI:3","VERSIO:TOT")</f>
        <v>0</v>
      </c>
      <c r="M133" s="34">
        <f>K133+L133</f>
        <v>0</v>
      </c>
      <c r="N133" s="34">
        <f>_xll.EVGET($I$59,N$78,$I$62,$I$63,$I$64,$I$66,N$79,$I$69,"YHT","TILI:3")</f>
        <v>0</v>
      </c>
      <c r="O133" s="34">
        <f>_xll.EVGET($I$59,O$78,$I$62,$I$63,$I$64,$I$66,O$79,$I$69,"YHT","TILI:3")</f>
        <v>0</v>
      </c>
      <c r="P133" s="34">
        <f>_xll.EVGET($I$59,P$78,$I$62,$I$63,$I$64,$I$66,P$79,$I$69,"YHT","TILI:3")</f>
        <v>0</v>
      </c>
      <c r="Q133" s="34">
        <f>O133+P133</f>
        <v>0</v>
      </c>
      <c r="R133" s="34">
        <f>_xll.EVGET($I$59,R$78,$I$62,$I$63,$I$64,$I$66,R$79,$I$69,"YHT","TILI:3_R")</f>
        <v>0</v>
      </c>
      <c r="S133" s="34">
        <f>_xll.EVGET($I$59,S$78,$I$62,$I$63,$I$64,$I$66,S$79,$I$69,"YHT","TILI:3_R")</f>
        <v>0</v>
      </c>
      <c r="T133" s="34">
        <f>_xll.EVGET($I$59,T$78,$I$62,$I$63,$I$64,$I$66,T$79,$I$69,"YHT","TILI:3_R")</f>
        <v>0</v>
      </c>
      <c r="U133" s="35"/>
    </row>
    <row r="134" spans="6:21" ht="15.75" thickBot="1" x14ac:dyDescent="0.3">
      <c r="G134" s="55" t="s">
        <v>121</v>
      </c>
      <c r="H134" s="16"/>
      <c r="I134" s="66" t="s">
        <v>63</v>
      </c>
      <c r="J134" s="44">
        <f>_xll.EVGET($I$59,J$78,$I$62,$I$63,$I$64,$I$66,J$79,$I$69,"YHT","TILI:4","VERSIO:TOT")</f>
        <v>0</v>
      </c>
      <c r="K134" s="44">
        <f>_xll.EVGET($I$59,K$78,$I$62,$I$63,$I$64,$I$66,K$79,$I$69,"YHT","TILI:4","VERSIO:TOT")</f>
        <v>0</v>
      </c>
      <c r="L134" s="44">
        <f>_xll.EVGET($I$59,L$78,$I$62,$I$63,$I$64,$I$66,L$79,$I$69,"YHT","TILI:4","VERSIO:TOT")</f>
        <v>0</v>
      </c>
      <c r="M134" s="44">
        <f>K134+L134</f>
        <v>0</v>
      </c>
      <c r="N134" s="44">
        <f>_xll.EVGET($I$59,N$78,$I$62,$I$63,$I$64,$I$66,N$79,$I$69,"YHT","TILI:4")</f>
        <v>0</v>
      </c>
      <c r="O134" s="44">
        <f>_xll.EVGET($I$59,O$78,$I$62,$I$63,$I$64,$I$66,O$79,$I$69,"YHT","TILI:4")</f>
        <v>0</v>
      </c>
      <c r="P134" s="44">
        <f>_xll.EVGET($I$59,P$78,$I$62,$I$63,$I$64,$I$66,P$79,$I$69,"YHT","TILI:4")</f>
        <v>0</v>
      </c>
      <c r="Q134" s="44">
        <f>O134+P134</f>
        <v>0</v>
      </c>
      <c r="R134" s="44">
        <f>_xll.EVGET($I$59,R$78,$I$62,$I$63,$I$64,$I$66,R$79,$I$69,"YHT","TILI:4_R")</f>
        <v>0</v>
      </c>
      <c r="S134" s="44">
        <f>_xll.EVGET($I$59,S$78,$I$62,$I$63,$I$64,$I$66,S$79,$I$69,"YHT","TILI:4_R")</f>
        <v>0</v>
      </c>
      <c r="T134" s="44">
        <f>_xll.EVGET($I$59,T$78,$I$62,$I$63,$I$64,$I$66,T$79,$I$69,"YHT","TILI:4_R")</f>
        <v>0</v>
      </c>
      <c r="U134" s="35"/>
    </row>
    <row r="135" spans="6:21" ht="15.75" thickTop="1" x14ac:dyDescent="0.25">
      <c r="G135" s="18" t="s">
        <v>121</v>
      </c>
      <c r="I135" s="1" t="s">
        <v>74</v>
      </c>
    </row>
    <row r="136" spans="6:21" x14ac:dyDescent="0.25">
      <c r="G136" s="54"/>
      <c r="H136" s="54"/>
      <c r="I136" s="54" t="s">
        <v>79</v>
      </c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</row>
    <row r="137" spans="6:21" x14ac:dyDescent="0.25">
      <c r="I137" s="20" t="s">
        <v>44</v>
      </c>
      <c r="J137" s="16" t="str">
        <f>I59</f>
        <v>TKU_MÄÄRÄRAHA</v>
      </c>
    </row>
    <row r="138" spans="6:21" x14ac:dyDescent="0.25">
      <c r="I138" s="20" t="s">
        <v>21</v>
      </c>
      <c r="J138" s="16" t="str">
        <f>J60</f>
        <v>2012</v>
      </c>
    </row>
    <row r="139" spans="6:21" x14ac:dyDescent="0.25">
      <c r="I139" s="20" t="s">
        <v>46</v>
      </c>
      <c r="J139" s="16" t="str">
        <f t="shared" ref="J139:J147" si="22">J61</f>
        <v>Turun kaupunki</v>
      </c>
    </row>
    <row r="140" spans="6:21" x14ac:dyDescent="0.25">
      <c r="I140" s="20" t="s">
        <v>47</v>
      </c>
      <c r="J140" s="16" t="str">
        <f t="shared" si="22"/>
        <v>Liikuntalautakunta</v>
      </c>
    </row>
    <row r="141" spans="6:21" x14ac:dyDescent="0.25">
      <c r="I141" s="20" t="s">
        <v>48</v>
      </c>
      <c r="J141" s="16" t="str">
        <f t="shared" si="22"/>
        <v>Periodic</v>
      </c>
    </row>
    <row r="142" spans="6:21" x14ac:dyDescent="0.25">
      <c r="I142" s="20" t="s">
        <v>49</v>
      </c>
      <c r="J142" s="16" t="str">
        <f t="shared" si="22"/>
        <v>Tilastolliset tilaukset YHTEENSÄ</v>
      </c>
    </row>
    <row r="143" spans="6:21" x14ac:dyDescent="0.25">
      <c r="I143" s="20" t="s">
        <v>24</v>
      </c>
      <c r="J143" s="16" t="str">
        <f t="shared" si="22"/>
        <v>Rakennusten ja huoneistojen vuokrat</v>
      </c>
    </row>
    <row r="144" spans="6:21" x14ac:dyDescent="0.25">
      <c r="I144" s="20" t="s">
        <v>50</v>
      </c>
      <c r="J144" s="16" t="str">
        <f t="shared" si="22"/>
        <v>Ei Määritelty</v>
      </c>
    </row>
    <row r="145" spans="9:10" x14ac:dyDescent="0.25">
      <c r="I145" s="20" t="s">
        <v>22</v>
      </c>
      <c r="J145" s="16" t="str">
        <f t="shared" si="22"/>
        <v>Toimielimen ehdotus</v>
      </c>
    </row>
    <row r="146" spans="9:10" x14ac:dyDescent="0.25">
      <c r="I146" s="20" t="s">
        <v>51</v>
      </c>
      <c r="J146" s="16" t="str">
        <f t="shared" si="22"/>
        <v>Raamia vastaava budjetti V1</v>
      </c>
    </row>
    <row r="147" spans="9:10" x14ac:dyDescent="0.25">
      <c r="I147" s="20" t="s">
        <v>52</v>
      </c>
      <c r="J147" s="16" t="str">
        <f t="shared" si="22"/>
        <v>Turun peruskaupunki</v>
      </c>
    </row>
    <row r="148" spans="9:10" x14ac:dyDescent="0.25">
      <c r="I148" s="20" t="s">
        <v>75</v>
      </c>
      <c r="J148" s="16" t="str">
        <f>_xll.EVUSR()</f>
        <v>kaiahola</v>
      </c>
    </row>
    <row r="149" spans="9:10" x14ac:dyDescent="0.25">
      <c r="I149" s="20" t="s">
        <v>76</v>
      </c>
      <c r="J149" s="21">
        <f ca="1">TODAY()</f>
        <v>41166</v>
      </c>
    </row>
  </sheetData>
  <sheetProtection sheet="1" objects="1" scenarios="1"/>
  <phoneticPr fontId="10" type="noConversion"/>
  <dataValidations count="2">
    <dataValidation type="list" allowBlank="1" sqref="B82:E82">
      <formula1>"SELF,ALL,BAS,DEP,BASMEMBERS,MEMBERS,NOEXPAND,GDEP"</formula1>
    </dataValidation>
    <dataValidation type="list" allowBlank="1" sqref="B81:E81">
      <formula1>"AIKA,KUMPPANI,KUSTANNUSPAIKKA,MEASURES,TILAUS,TILI,TOIMINTOALUE,TYYPPI,VERSIO,YRITYS"</formula1>
    </dataValidation>
  </dataValidations>
  <pageMargins left="0.75" right="0.75" top="1" bottom="1" header="0.4921259845" footer="0.4921259845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3"/>
  <dimension ref="A1:X88"/>
  <sheetViews>
    <sheetView topLeftCell="V25" zoomScale="85" zoomScaleNormal="85" workbookViewId="0">
      <selection activeCell="I16" sqref="I16"/>
    </sheetView>
  </sheetViews>
  <sheetFormatPr defaultRowHeight="15" outlineLevelCol="1" x14ac:dyDescent="0.25"/>
  <cols>
    <col min="1" max="1" width="21.140625" style="1" hidden="1" customWidth="1" outlineLevel="1"/>
    <col min="2" max="2" width="29.5703125" style="1" hidden="1" customWidth="1" outlineLevel="1"/>
    <col min="3" max="4" width="16.85546875" style="1" hidden="1" customWidth="1" outlineLevel="1"/>
    <col min="5" max="5" width="27.7109375" style="1" hidden="1" customWidth="1" outlineLevel="1"/>
    <col min="6" max="6" width="8.7109375" style="26" hidden="1" customWidth="1" outlineLevel="1"/>
    <col min="7" max="7" width="15" style="1" hidden="1" customWidth="1" outlineLevel="1"/>
    <col min="8" max="8" width="24.28515625" style="1" hidden="1" customWidth="1" outlineLevel="1"/>
    <col min="9" max="9" width="50" style="1" hidden="1" customWidth="1" outlineLevel="1"/>
    <col min="10" max="10" width="21.42578125" style="1" hidden="1" customWidth="1" outlineLevel="1"/>
    <col min="11" max="12" width="17.28515625" style="1" hidden="1" customWidth="1" outlineLevel="1"/>
    <col min="13" max="13" width="15" style="1" hidden="1" customWidth="1" outlineLevel="1"/>
    <col min="14" max="15" width="17.28515625" style="1" hidden="1" customWidth="1" outlineLevel="1"/>
    <col min="16" max="16" width="23" style="1" hidden="1" customWidth="1" outlineLevel="1"/>
    <col min="17" max="17" width="17" style="1" hidden="1" customWidth="1" outlineLevel="1"/>
    <col min="18" max="20" width="17.28515625" style="1" hidden="1" customWidth="1" outlineLevel="1"/>
    <col min="21" max="21" width="9.140625" style="1" hidden="1" customWidth="1" outlineLevel="1"/>
    <col min="22" max="22" width="11" style="1" bestFit="1" customWidth="1" collapsed="1"/>
    <col min="23" max="16384" width="9.140625" style="1"/>
  </cols>
  <sheetData>
    <row r="1" spans="1:24" x14ac:dyDescent="0.25">
      <c r="A1" s="3" t="str">
        <f>_xll.EVDRE($I$13,A15:B22,A34:E40)</f>
        <v>EVDRE:OK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4" x14ac:dyDescent="0.25">
      <c r="I2" s="68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5" customFormat="1" x14ac:dyDescent="0.25">
      <c r="F3" s="36"/>
      <c r="I3" s="43" t="str">
        <f>"Toimielin "&amp;$J$48</f>
        <v>Toimielin Liikuntalautakunta</v>
      </c>
      <c r="J3" s="69" t="s">
        <v>74</v>
      </c>
      <c r="K3" s="69" t="s">
        <v>74</v>
      </c>
      <c r="L3" s="69" t="s">
        <v>74</v>
      </c>
      <c r="M3" s="69" t="s">
        <v>74</v>
      </c>
      <c r="N3" s="69" t="s">
        <v>74</v>
      </c>
      <c r="O3" s="69" t="s">
        <v>74</v>
      </c>
      <c r="P3" s="69" t="s">
        <v>74</v>
      </c>
      <c r="Q3" s="69" t="s">
        <v>74</v>
      </c>
      <c r="R3" s="69" t="s">
        <v>74</v>
      </c>
      <c r="S3" s="69" t="s">
        <v>74</v>
      </c>
      <c r="T3" s="69" t="s">
        <v>74</v>
      </c>
    </row>
    <row r="4" spans="1:24" s="35" customFormat="1" x14ac:dyDescent="0.25">
      <c r="F4" s="36"/>
      <c r="H4" s="37"/>
      <c r="I4" s="39" t="s">
        <v>74</v>
      </c>
      <c r="J4" s="32"/>
      <c r="K4" s="32"/>
      <c r="L4" s="32"/>
      <c r="M4" s="30"/>
      <c r="N4" s="29"/>
      <c r="O4" s="32"/>
      <c r="P4" s="32"/>
      <c r="Q4" s="32"/>
      <c r="R4" s="32"/>
      <c r="S4" s="32"/>
      <c r="T4" s="32"/>
    </row>
    <row r="5" spans="1:24" s="35" customFormat="1" x14ac:dyDescent="0.25">
      <c r="F5" s="36"/>
      <c r="H5" s="37"/>
      <c r="I5" s="43" t="s">
        <v>57</v>
      </c>
      <c r="J5" s="32"/>
      <c r="K5" s="32"/>
      <c r="L5" s="32"/>
      <c r="M5" s="30"/>
      <c r="N5" s="29"/>
      <c r="O5" s="32"/>
      <c r="P5" s="32"/>
      <c r="Q5" s="32"/>
      <c r="R5" s="32"/>
      <c r="S5" s="32"/>
      <c r="T5" s="32"/>
    </row>
    <row r="6" spans="1:24" s="35" customFormat="1" x14ac:dyDescent="0.25">
      <c r="F6" s="36"/>
      <c r="H6" s="37" t="s">
        <v>58</v>
      </c>
      <c r="I6" s="39" t="str">
        <f>_xll.EVDES(H6,$I$13)</f>
        <v>Valtionosuudet ja muut rahoitusosuudet</v>
      </c>
      <c r="J6" s="32"/>
      <c r="K6" s="32"/>
      <c r="L6" s="32"/>
      <c r="M6" s="30"/>
      <c r="N6" s="32"/>
      <c r="O6" s="32"/>
      <c r="P6" s="32"/>
      <c r="Q6" s="32"/>
      <c r="R6" s="32"/>
      <c r="S6" s="32"/>
      <c r="T6" s="32"/>
    </row>
    <row r="7" spans="1:24" s="35" customFormat="1" x14ac:dyDescent="0.25">
      <c r="F7" s="36"/>
      <c r="H7" s="37" t="s">
        <v>59</v>
      </c>
      <c r="I7" s="39" t="str">
        <f>_xll.EVDES(H7,$I$13)</f>
        <v>Investointikulut</v>
      </c>
      <c r="J7" s="32"/>
      <c r="K7" s="32"/>
      <c r="L7" s="32"/>
      <c r="M7" s="30"/>
      <c r="N7" s="32"/>
      <c r="O7" s="32"/>
      <c r="P7" s="32"/>
      <c r="Q7" s="32"/>
      <c r="R7" s="32"/>
      <c r="S7" s="32"/>
      <c r="T7" s="32"/>
    </row>
    <row r="8" spans="1:24" s="35" customFormat="1" x14ac:dyDescent="0.25">
      <c r="F8" s="36"/>
      <c r="H8" s="37" t="s">
        <v>86</v>
      </c>
      <c r="I8" s="39" t="str">
        <f>_xll.EVDES(H8,$I$13)</f>
        <v>Nettoinvestoinnit</v>
      </c>
      <c r="J8" s="29"/>
      <c r="K8" s="29"/>
      <c r="L8" s="29"/>
      <c r="M8" s="31"/>
      <c r="N8" s="29"/>
      <c r="O8" s="29"/>
      <c r="P8" s="29"/>
      <c r="Q8" s="29"/>
      <c r="R8" s="29"/>
      <c r="S8" s="29"/>
      <c r="T8" s="29"/>
    </row>
    <row r="9" spans="1:24" s="35" customFormat="1" x14ac:dyDescent="0.25">
      <c r="F9" s="36"/>
      <c r="H9" s="37"/>
      <c r="I9" s="39" t="s">
        <v>74</v>
      </c>
      <c r="J9" s="32"/>
      <c r="K9" s="32"/>
      <c r="L9" s="32"/>
      <c r="M9" s="30"/>
      <c r="N9" s="29"/>
      <c r="O9" s="32"/>
      <c r="P9" s="32"/>
      <c r="Q9" s="32"/>
      <c r="R9" s="32"/>
      <c r="S9" s="32"/>
      <c r="T9" s="32"/>
    </row>
    <row r="10" spans="1:24" x14ac:dyDescent="0.25">
      <c r="I10" s="1" t="s">
        <v>74</v>
      </c>
    </row>
    <row r="11" spans="1:24" x14ac:dyDescent="0.25">
      <c r="I11" s="1" t="s">
        <v>74</v>
      </c>
    </row>
    <row r="13" spans="1:24" x14ac:dyDescent="0.25">
      <c r="H13" s="10" t="s">
        <v>44</v>
      </c>
      <c r="I13" s="11" t="s">
        <v>45</v>
      </c>
      <c r="J13" s="10" t="str">
        <f>_xll.EVAPD($I$13)</f>
        <v>Talousarvion valmistelu</v>
      </c>
    </row>
    <row r="14" spans="1:24" x14ac:dyDescent="0.25">
      <c r="A14" s="2" t="s">
        <v>0</v>
      </c>
      <c r="B14" s="5" t="s">
        <v>1</v>
      </c>
      <c r="H14" s="10" t="s">
        <v>21</v>
      </c>
      <c r="I14" s="12" t="str">
        <f>LEFT(Käyttötalousosa!I60,4)&amp;".vuosi_syöttö"</f>
        <v>2012.vuosi_syöttö</v>
      </c>
      <c r="J14" s="1" t="str">
        <f>_xll.EVDES(I14,$I$13)</f>
        <v>2012</v>
      </c>
    </row>
    <row r="15" spans="1:24" x14ac:dyDescent="0.25">
      <c r="A15" s="6" t="s">
        <v>2</v>
      </c>
      <c r="B15" s="7" t="str">
        <f>_xll.EVRNG(I14:I23)</f>
        <v>P!$I$14:$I$23</v>
      </c>
      <c r="H15" s="10" t="s">
        <v>46</v>
      </c>
      <c r="I15" s="12" t="str">
        <f>Käyttötalousosa!I61</f>
        <v>1001</v>
      </c>
      <c r="J15" s="1" t="str">
        <f>_xll.EVDES(I15,$I$13)</f>
        <v>Turun kaupunki</v>
      </c>
    </row>
    <row r="16" spans="1:24" x14ac:dyDescent="0.25">
      <c r="A16" s="6" t="s">
        <v>3</v>
      </c>
      <c r="B16" s="7" t="str">
        <f>_xll.EVRNG(J32:T33)</f>
        <v>P!$J$32:$T$33</v>
      </c>
      <c r="G16" s="1" t="str">
        <f>_xll.EVDES(Käyttötalousosa!I62&amp;"_TOIM",$I$13)</f>
        <v>Liikuntalautakunta</v>
      </c>
      <c r="H16" s="10" t="s">
        <v>47</v>
      </c>
      <c r="I16" s="12" t="str">
        <f>IF(OR(ISERROR(G16),G16="#NODATA"),"",Käyttötalousosa!I62&amp;"_TOIM")</f>
        <v>KUSTANNUSPAIKKA:LIIKLK_TOIM</v>
      </c>
      <c r="J16" s="1" t="str">
        <f>_xll.EVDES(I16,$I$13)</f>
        <v>Liikuntalautakunta</v>
      </c>
    </row>
    <row r="17" spans="1:20" x14ac:dyDescent="0.25">
      <c r="A17" s="6" t="s">
        <v>4</v>
      </c>
      <c r="B17" s="7" t="str">
        <f>_xll.EVRNG(G36:H43)</f>
        <v>P!$G$36:$H$43</v>
      </c>
      <c r="H17" s="10" t="s">
        <v>48</v>
      </c>
      <c r="I17" s="12" t="str">
        <f>Käyttötalousosa!I63</f>
        <v>PERIODIC</v>
      </c>
      <c r="J17" s="1" t="str">
        <f>_xll.EVDES(I17,$I$13)</f>
        <v>Periodic</v>
      </c>
    </row>
    <row r="18" spans="1:20" x14ac:dyDescent="0.25">
      <c r="A18" s="6" t="s">
        <v>5</v>
      </c>
      <c r="B18" s="7"/>
      <c r="H18" s="10" t="s">
        <v>49</v>
      </c>
      <c r="I18" s="12" t="s">
        <v>120</v>
      </c>
      <c r="J18" s="1" t="str">
        <f>_xll.EVDES(I18,$I$13)</f>
        <v>Investointihankkeet</v>
      </c>
    </row>
    <row r="19" spans="1:20" x14ac:dyDescent="0.25">
      <c r="A19" s="6" t="s">
        <v>6</v>
      </c>
      <c r="B19" s="7"/>
      <c r="H19" s="10" t="s">
        <v>24</v>
      </c>
      <c r="I19" s="12" t="str">
        <f>Käyttötalousosa!I65</f>
        <v>482000</v>
      </c>
      <c r="J19" s="1" t="str">
        <f>_xll.EVDES(I19,$I$13)</f>
        <v>Rakennusten ja huoneistojen vuokrat</v>
      </c>
    </row>
    <row r="20" spans="1:20" x14ac:dyDescent="0.25">
      <c r="A20" s="6" t="s">
        <v>7</v>
      </c>
      <c r="B20" s="7"/>
      <c r="H20" s="10" t="s">
        <v>50</v>
      </c>
      <c r="I20" s="12" t="str">
        <f>Käyttötalousosa!I66</f>
        <v>A000</v>
      </c>
      <c r="J20" s="1" t="str">
        <f>_xll.EVDES(I20,$I$13)</f>
        <v>Ei Määritelty</v>
      </c>
    </row>
    <row r="21" spans="1:20" x14ac:dyDescent="0.25">
      <c r="A21" s="6" t="s">
        <v>43</v>
      </c>
      <c r="B21" s="7" t="str">
        <f>_xll.EVRNG($A$44:$B$59)</f>
        <v>P!$A$44:$B$59</v>
      </c>
      <c r="H21" s="10" t="s">
        <v>22</v>
      </c>
      <c r="I21" s="12" t="str">
        <f>Käyttötalousosa!I67</f>
        <v>TO_EHD</v>
      </c>
      <c r="J21" s="1" t="str">
        <f>_xll.EVDES(I21,$I$13)</f>
        <v>Toimielimen ehdotus</v>
      </c>
    </row>
    <row r="22" spans="1:20" x14ac:dyDescent="0.25">
      <c r="A22" s="6" t="s">
        <v>8</v>
      </c>
      <c r="B22" s="7"/>
      <c r="H22" s="10" t="s">
        <v>51</v>
      </c>
      <c r="I22" s="12" t="str">
        <f>Käyttötalousosa!I68</f>
        <v>RAA_V1</v>
      </c>
      <c r="J22" s="1" t="str">
        <f>_xll.EVDES(I22,$I$13)</f>
        <v>Raamia vastaava budjetti V1</v>
      </c>
    </row>
    <row r="23" spans="1:20" x14ac:dyDescent="0.25">
      <c r="H23" s="10" t="s">
        <v>52</v>
      </c>
      <c r="I23" s="12" t="str">
        <f>Käyttötalousosa!I69</f>
        <v>YRITYS:1002</v>
      </c>
      <c r="J23" s="1" t="str">
        <f>_xll.EVDES(I23,$I$13)</f>
        <v>Turun peruskaupunki</v>
      </c>
    </row>
    <row r="24" spans="1:20" x14ac:dyDescent="0.25">
      <c r="H24" s="10"/>
    </row>
    <row r="25" spans="1:20" x14ac:dyDescent="0.25">
      <c r="F25" s="19" t="str">
        <f>IF(_xll.EVDES(F32,$I$13)="#NODATA","",_xll.EVDES(F32,$I$13))</f>
        <v/>
      </c>
      <c r="H25" s="10"/>
      <c r="I25" s="19" t="str">
        <f>IF(_xll.EVDES(I32,$I$13)="#NODATA","",_xll.EVDES(I32,$I$13))</f>
        <v/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x14ac:dyDescent="0.25">
      <c r="H26" s="10"/>
    </row>
    <row r="27" spans="1:20" x14ac:dyDescent="0.25">
      <c r="H27" s="10"/>
    </row>
    <row r="28" spans="1:20" x14ac:dyDescent="0.25">
      <c r="H28" s="10"/>
    </row>
    <row r="29" spans="1:20" x14ac:dyDescent="0.25">
      <c r="H29" s="10"/>
    </row>
    <row r="30" spans="1:20" ht="48.75" customHeight="1" x14ac:dyDescent="0.25">
      <c r="H30" s="10"/>
      <c r="I30" s="22" t="s">
        <v>54</v>
      </c>
      <c r="J30" s="25" t="str">
        <f>"TP "&amp;(LEFT($I$14,4)-1)</f>
        <v>TP 2011</v>
      </c>
      <c r="K30" s="25" t="str">
        <f>"TA "&amp;(LEFT($J$14,4))</f>
        <v>TA 2012</v>
      </c>
      <c r="L30" s="25" t="str">
        <f>"TA  muutokset "&amp;(LEFT($J$14,4))</f>
        <v>TA  muutokset 2012</v>
      </c>
      <c r="M30" s="25" t="str">
        <f>"TA yhteensä "&amp;(LEFT($J$14,4))</f>
        <v>TA yhteensä 2012</v>
      </c>
      <c r="N30" s="25" t="str">
        <f>"Toimielimen ehdotus "&amp;(LEFT($I$14,4)+1)</f>
        <v>Toimielimen ehdotus 2013</v>
      </c>
      <c r="O30" s="25" t="str">
        <f>"TA  "&amp;(LEFT($I$14,4)+1)</f>
        <v>TA  2013</v>
      </c>
      <c r="P30" s="25" t="str">
        <f>"TA  muutokset "&amp;(LEFT($I$14,4)+1)</f>
        <v>TA  muutokset 2013</v>
      </c>
      <c r="Q30" s="25" t="str">
        <f>"TA yhteensä "&amp;(LEFT($I$14,4)+1)</f>
        <v>TA yhteensä 2013</v>
      </c>
      <c r="R30" s="25" t="str">
        <f>"TS "&amp;(LEFT($I$14,4)+2)</f>
        <v>TS 2014</v>
      </c>
      <c r="S30" s="25" t="str">
        <f>"TS "&amp;(LEFT($I$14,4)+3)</f>
        <v>TS 2015</v>
      </c>
      <c r="T30" s="25" t="str">
        <f>"TS "&amp;(LEFT($I$14,4)+4)</f>
        <v>TS 2016</v>
      </c>
    </row>
    <row r="32" spans="1:20" x14ac:dyDescent="0.25">
      <c r="H32" s="13"/>
      <c r="I32" s="14"/>
      <c r="J32" s="23" t="str">
        <f>$I$14</f>
        <v>2012.vuosi_syöttö</v>
      </c>
      <c r="K32" s="23" t="str">
        <f t="shared" ref="K32:T32" si="0">$I$14</f>
        <v>2012.vuosi_syöttö</v>
      </c>
      <c r="L32" s="23" t="str">
        <f t="shared" si="0"/>
        <v>2012.vuosi_syöttö</v>
      </c>
      <c r="M32" s="23" t="str">
        <f t="shared" si="0"/>
        <v>2012.vuosi_syöttö</v>
      </c>
      <c r="N32" s="23" t="str">
        <f t="shared" si="0"/>
        <v>2012.vuosi_syöttö</v>
      </c>
      <c r="O32" s="23" t="str">
        <f t="shared" si="0"/>
        <v>2012.vuosi_syöttö</v>
      </c>
      <c r="P32" s="23" t="str">
        <f t="shared" si="0"/>
        <v>2012.vuosi_syöttö</v>
      </c>
      <c r="Q32" s="23" t="str">
        <f t="shared" si="0"/>
        <v>2012.vuosi_syöttö</v>
      </c>
      <c r="R32" s="23" t="str">
        <f t="shared" si="0"/>
        <v>2012.vuosi_syöttö</v>
      </c>
      <c r="S32" s="23" t="str">
        <f t="shared" si="0"/>
        <v>2012.vuosi_syöttö</v>
      </c>
      <c r="T32" s="23" t="str">
        <f t="shared" si="0"/>
        <v>2012.vuosi_syöttö</v>
      </c>
    </row>
    <row r="33" spans="1:24" x14ac:dyDescent="0.25">
      <c r="A33" s="2" t="s">
        <v>9</v>
      </c>
      <c r="B33" s="4" t="s">
        <v>10</v>
      </c>
      <c r="C33" s="4" t="s">
        <v>11</v>
      </c>
      <c r="D33" s="4" t="s">
        <v>12</v>
      </c>
      <c r="E33" s="5" t="s">
        <v>73</v>
      </c>
      <c r="H33" s="13"/>
      <c r="I33" s="14"/>
      <c r="J33" s="14" t="s">
        <v>84</v>
      </c>
      <c r="K33" s="14" t="s">
        <v>64</v>
      </c>
      <c r="L33" s="14" t="s">
        <v>85</v>
      </c>
      <c r="M33" s="14"/>
      <c r="N33" s="14" t="s">
        <v>65</v>
      </c>
      <c r="O33" s="14" t="s">
        <v>65</v>
      </c>
      <c r="P33" s="14" t="s">
        <v>66</v>
      </c>
      <c r="Q33" s="14"/>
      <c r="R33" s="14" t="s">
        <v>67</v>
      </c>
      <c r="S33" s="14" t="s">
        <v>68</v>
      </c>
      <c r="T33" s="14" t="s">
        <v>69</v>
      </c>
      <c r="W33" s="25"/>
      <c r="X33" s="25"/>
    </row>
    <row r="34" spans="1:24" x14ac:dyDescent="0.25">
      <c r="A34" s="8" t="s">
        <v>13</v>
      </c>
      <c r="B34" s="9" t="s">
        <v>20</v>
      </c>
      <c r="C34" s="9" t="s">
        <v>20</v>
      </c>
      <c r="D34" s="9" t="s">
        <v>23</v>
      </c>
      <c r="E34" s="9" t="s">
        <v>23</v>
      </c>
      <c r="H34" s="1" t="str">
        <f>IF(_xll.EVDES(H32,$I$13)="#NODATA","",_xll.EVDES(H32,$I$13))</f>
        <v/>
      </c>
    </row>
    <row r="35" spans="1:24" x14ac:dyDescent="0.25">
      <c r="A35" s="8" t="s">
        <v>14</v>
      </c>
      <c r="B35" s="9" t="s">
        <v>22</v>
      </c>
      <c r="C35" s="9" t="s">
        <v>21</v>
      </c>
      <c r="D35" s="9" t="s">
        <v>51</v>
      </c>
      <c r="E35" s="9" t="s">
        <v>24</v>
      </c>
      <c r="G35" s="18"/>
      <c r="I35" s="24"/>
      <c r="V35" s="25"/>
    </row>
    <row r="36" spans="1:24" x14ac:dyDescent="0.25">
      <c r="A36" s="8" t="s">
        <v>15</v>
      </c>
      <c r="B36" s="15" t="s">
        <v>70</v>
      </c>
      <c r="C36" s="15" t="s">
        <v>70</v>
      </c>
      <c r="D36" s="15" t="s">
        <v>72</v>
      </c>
      <c r="E36" s="15" t="str">
        <f>_xll.EVRNG(H3:U10)</f>
        <v>P!$H$3:$U$10</v>
      </c>
      <c r="G36" s="18" t="s">
        <v>121</v>
      </c>
      <c r="H36" s="35"/>
      <c r="I36" s="43" t="str">
        <f>"Toimielin "&amp;$J$48</f>
        <v>Toimielin Liikuntalautakunta</v>
      </c>
      <c r="J36" s="69" t="s">
        <v>74</v>
      </c>
      <c r="K36" s="69" t="s">
        <v>74</v>
      </c>
      <c r="L36" s="69" t="s">
        <v>74</v>
      </c>
      <c r="M36" s="69" t="s">
        <v>74</v>
      </c>
      <c r="N36" s="69" t="s">
        <v>74</v>
      </c>
      <c r="O36" s="69" t="s">
        <v>74</v>
      </c>
      <c r="P36" s="69" t="s">
        <v>74</v>
      </c>
      <c r="Q36" s="69" t="s">
        <v>74</v>
      </c>
      <c r="R36" s="69" t="s">
        <v>74</v>
      </c>
      <c r="S36" s="69" t="s">
        <v>74</v>
      </c>
      <c r="T36" s="69" t="s">
        <v>74</v>
      </c>
      <c r="U36" s="35"/>
    </row>
    <row r="37" spans="1:24" x14ac:dyDescent="0.25">
      <c r="A37" s="8" t="s">
        <v>16</v>
      </c>
      <c r="B37" s="9"/>
      <c r="C37" s="9"/>
      <c r="D37" s="9"/>
      <c r="E37" s="9"/>
      <c r="G37" s="18" t="s">
        <v>121</v>
      </c>
      <c r="H37" s="37"/>
      <c r="I37" s="39" t="s">
        <v>74</v>
      </c>
      <c r="J37" s="32"/>
      <c r="K37" s="32"/>
      <c r="L37" s="32"/>
      <c r="M37" s="30"/>
      <c r="N37" s="29"/>
      <c r="O37" s="32"/>
      <c r="P37" s="32"/>
      <c r="Q37" s="32"/>
      <c r="R37" s="32"/>
      <c r="S37" s="32"/>
      <c r="T37" s="32"/>
      <c r="U37" s="35"/>
    </row>
    <row r="38" spans="1:24" x14ac:dyDescent="0.25">
      <c r="A38" s="8" t="s">
        <v>17</v>
      </c>
      <c r="B38" s="9"/>
      <c r="C38" s="9"/>
      <c r="D38" s="9"/>
      <c r="E38" s="9"/>
      <c r="G38" s="18" t="s">
        <v>121</v>
      </c>
      <c r="H38" s="37"/>
      <c r="I38" s="43" t="s">
        <v>57</v>
      </c>
      <c r="J38" s="32"/>
      <c r="K38" s="32"/>
      <c r="L38" s="32"/>
      <c r="M38" s="30"/>
      <c r="N38" s="29"/>
      <c r="O38" s="32"/>
      <c r="P38" s="32"/>
      <c r="Q38" s="32">
        <f>P38+O38</f>
        <v>0</v>
      </c>
      <c r="R38" s="32"/>
      <c r="S38" s="32"/>
      <c r="T38" s="32"/>
      <c r="U38" s="35"/>
    </row>
    <row r="39" spans="1:24" x14ac:dyDescent="0.25">
      <c r="A39" s="8" t="s">
        <v>18</v>
      </c>
      <c r="B39" s="9"/>
      <c r="C39" s="9"/>
      <c r="D39" s="9"/>
      <c r="E39" s="9"/>
      <c r="F39" s="26">
        <v>3</v>
      </c>
      <c r="G39" s="18" t="s">
        <v>121</v>
      </c>
      <c r="H39" s="37" t="s">
        <v>58</v>
      </c>
      <c r="I39" s="39" t="str">
        <f>_xll.EVDES(H39,$I$13)</f>
        <v>Valtionosuudet ja muut rahoitusosuudet</v>
      </c>
      <c r="J39" s="32"/>
      <c r="K39" s="32"/>
      <c r="L39" s="32"/>
      <c r="M39" s="30"/>
      <c r="N39" s="32"/>
      <c r="O39" s="32"/>
      <c r="P39" s="32"/>
      <c r="Q39" s="32"/>
      <c r="R39" s="32"/>
      <c r="S39" s="32"/>
      <c r="T39" s="32"/>
      <c r="U39" s="35"/>
    </row>
    <row r="40" spans="1:24" x14ac:dyDescent="0.25">
      <c r="A40" s="8" t="s">
        <v>19</v>
      </c>
      <c r="B40" s="9"/>
      <c r="C40" s="9"/>
      <c r="D40" s="9"/>
      <c r="E40" s="9"/>
      <c r="F40" s="26">
        <v>4</v>
      </c>
      <c r="G40" s="18" t="s">
        <v>121</v>
      </c>
      <c r="H40" s="37" t="s">
        <v>59</v>
      </c>
      <c r="I40" s="39" t="str">
        <f>_xll.EVDES(H40,$I$13)</f>
        <v>Investointikulut</v>
      </c>
      <c r="J40" s="32"/>
      <c r="K40" s="32"/>
      <c r="L40" s="32"/>
      <c r="M40" s="30"/>
      <c r="N40" s="32"/>
      <c r="O40" s="32"/>
      <c r="P40" s="32"/>
      <c r="Q40" s="32"/>
      <c r="R40" s="32"/>
      <c r="S40" s="32"/>
      <c r="T40" s="32"/>
      <c r="U40" s="35"/>
    </row>
    <row r="41" spans="1:24" x14ac:dyDescent="0.25">
      <c r="G41" s="18" t="s">
        <v>121</v>
      </c>
      <c r="H41" s="37" t="s">
        <v>86</v>
      </c>
      <c r="I41" s="39" t="str">
        <f>_xll.EVDES(H41,$I$13)</f>
        <v>Nettoinvestoinnit</v>
      </c>
      <c r="J41" s="29">
        <f>J39-J40</f>
        <v>0</v>
      </c>
      <c r="K41" s="29">
        <f>K39-K40</f>
        <v>0</v>
      </c>
      <c r="L41" s="29">
        <f>L39-L40</f>
        <v>0</v>
      </c>
      <c r="M41" s="31">
        <f>K41+L41</f>
        <v>0</v>
      </c>
      <c r="N41" s="29">
        <f>N39-N40</f>
        <v>0</v>
      </c>
      <c r="O41" s="29">
        <f>O39-O40</f>
        <v>0</v>
      </c>
      <c r="P41" s="29">
        <f>P39-P40</f>
        <v>0</v>
      </c>
      <c r="Q41" s="29">
        <f>P41+O41</f>
        <v>0</v>
      </c>
      <c r="R41" s="29">
        <f>R39-R40</f>
        <v>0</v>
      </c>
      <c r="S41" s="29">
        <f>S39-S40</f>
        <v>0</v>
      </c>
      <c r="T41" s="29">
        <f>T39-T40</f>
        <v>0</v>
      </c>
      <c r="U41" s="35"/>
    </row>
    <row r="42" spans="1:24" x14ac:dyDescent="0.25">
      <c r="G42" s="18" t="s">
        <v>121</v>
      </c>
      <c r="H42" s="37"/>
      <c r="I42" s="39" t="s">
        <v>74</v>
      </c>
      <c r="J42" s="32"/>
      <c r="K42" s="32"/>
      <c r="L42" s="32"/>
      <c r="M42" s="30"/>
      <c r="N42" s="29"/>
      <c r="O42" s="32"/>
      <c r="P42" s="32"/>
      <c r="Q42" s="32"/>
      <c r="R42" s="32"/>
      <c r="S42" s="32"/>
      <c r="T42" s="32"/>
      <c r="U42" s="35"/>
    </row>
    <row r="43" spans="1:24" x14ac:dyDescent="0.25">
      <c r="A43" s="2" t="s">
        <v>25</v>
      </c>
      <c r="B43" s="5" t="s">
        <v>26</v>
      </c>
      <c r="C43" s="5" t="s">
        <v>88</v>
      </c>
      <c r="G43" s="18" t="s">
        <v>121</v>
      </c>
      <c r="I43" s="1" t="s">
        <v>74</v>
      </c>
    </row>
    <row r="44" spans="1:24" x14ac:dyDescent="0.25">
      <c r="A44" s="6" t="s">
        <v>27</v>
      </c>
      <c r="B44" s="7"/>
      <c r="C44" s="1" t="str">
        <f>I16&amp;"_TOIM"</f>
        <v>KUSTANNUSPAIKKA:LIIKLK_TOIM_TOIM</v>
      </c>
      <c r="G44" s="54"/>
      <c r="H44" s="54"/>
      <c r="I44" s="54" t="s">
        <v>79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35"/>
    </row>
    <row r="45" spans="1:24" x14ac:dyDescent="0.25">
      <c r="A45" s="6" t="s">
        <v>28</v>
      </c>
      <c r="B45" s="7"/>
      <c r="C45" s="1" t="str">
        <f>LEFT(I14,4)&amp;".vuosi_syöttö"</f>
        <v>2012.vuosi_syöttö</v>
      </c>
      <c r="I45" s="20" t="s">
        <v>44</v>
      </c>
      <c r="J45" s="16" t="str">
        <f>I13</f>
        <v>TKU_MÄÄRÄRAHA</v>
      </c>
      <c r="U45" s="35"/>
    </row>
    <row r="46" spans="1:24" x14ac:dyDescent="0.25">
      <c r="A46" s="6" t="s">
        <v>29</v>
      </c>
      <c r="B46" s="7"/>
      <c r="I46" s="20" t="s">
        <v>21</v>
      </c>
      <c r="J46" s="16" t="str">
        <f>J14</f>
        <v>2012</v>
      </c>
      <c r="U46" s="35"/>
    </row>
    <row r="47" spans="1:24" x14ac:dyDescent="0.25">
      <c r="A47" s="6" t="s">
        <v>30</v>
      </c>
      <c r="B47" s="7"/>
      <c r="I47" s="20" t="s">
        <v>46</v>
      </c>
      <c r="J47" s="16" t="str">
        <f t="shared" ref="J47:J55" si="1">J15</f>
        <v>Turun kaupunki</v>
      </c>
      <c r="U47" s="35"/>
    </row>
    <row r="48" spans="1:24" x14ac:dyDescent="0.25">
      <c r="A48" s="6" t="s">
        <v>31</v>
      </c>
      <c r="B48" s="7"/>
      <c r="I48" s="20" t="s">
        <v>47</v>
      </c>
      <c r="J48" s="16" t="str">
        <f t="shared" si="1"/>
        <v>Liikuntalautakunta</v>
      </c>
      <c r="U48" s="35"/>
    </row>
    <row r="49" spans="1:22" x14ac:dyDescent="0.25">
      <c r="A49" s="6" t="s">
        <v>32</v>
      </c>
      <c r="B49" s="7"/>
      <c r="F49" s="26">
        <v>30</v>
      </c>
      <c r="I49" s="20" t="s">
        <v>48</v>
      </c>
      <c r="J49" s="16" t="str">
        <f t="shared" si="1"/>
        <v>Periodic</v>
      </c>
      <c r="U49" s="35"/>
    </row>
    <row r="50" spans="1:22" x14ac:dyDescent="0.25">
      <c r="A50" s="6" t="s">
        <v>33</v>
      </c>
      <c r="B50" s="7"/>
      <c r="F50" s="26">
        <v>32</v>
      </c>
      <c r="I50" s="20" t="s">
        <v>49</v>
      </c>
      <c r="J50" s="16" t="str">
        <f t="shared" si="1"/>
        <v>Investointihankkeet</v>
      </c>
      <c r="U50" s="35"/>
    </row>
    <row r="51" spans="1:22" x14ac:dyDescent="0.25">
      <c r="A51" s="6" t="s">
        <v>34</v>
      </c>
      <c r="B51" s="7"/>
      <c r="F51" s="26">
        <v>33</v>
      </c>
      <c r="I51" s="20" t="s">
        <v>24</v>
      </c>
      <c r="J51" s="16" t="str">
        <f t="shared" si="1"/>
        <v>Rakennusten ja huoneistojen vuokrat</v>
      </c>
      <c r="U51" s="35"/>
    </row>
    <row r="52" spans="1:22" x14ac:dyDescent="0.25">
      <c r="A52" s="6" t="s">
        <v>35</v>
      </c>
      <c r="B52" s="7"/>
      <c r="I52" s="20" t="s">
        <v>50</v>
      </c>
      <c r="J52" s="16" t="str">
        <f t="shared" si="1"/>
        <v>Ei Määritelty</v>
      </c>
      <c r="U52" s="35"/>
    </row>
    <row r="53" spans="1:22" x14ac:dyDescent="0.25">
      <c r="A53" s="6" t="s">
        <v>36</v>
      </c>
      <c r="B53" s="7"/>
      <c r="I53" s="20" t="s">
        <v>22</v>
      </c>
      <c r="J53" s="16" t="str">
        <f t="shared" si="1"/>
        <v>Toimielimen ehdotus</v>
      </c>
      <c r="U53" s="35"/>
    </row>
    <row r="54" spans="1:22" x14ac:dyDescent="0.25">
      <c r="A54" s="56" t="s">
        <v>37</v>
      </c>
      <c r="B54" s="57"/>
      <c r="I54" s="20" t="s">
        <v>51</v>
      </c>
      <c r="J54" s="16" t="str">
        <f t="shared" si="1"/>
        <v>Raamia vastaava budjetti V1</v>
      </c>
      <c r="U54" s="35"/>
    </row>
    <row r="55" spans="1:22" ht="15.75" thickBot="1" x14ac:dyDescent="0.3">
      <c r="A55" s="60" t="s">
        <v>38</v>
      </c>
      <c r="B55" s="61"/>
      <c r="C55" s="61"/>
      <c r="D55" s="61"/>
      <c r="E55" s="61"/>
      <c r="F55" s="62"/>
      <c r="I55" s="20" t="s">
        <v>52</v>
      </c>
      <c r="J55" s="16" t="str">
        <f t="shared" si="1"/>
        <v>Turun peruskaupunki</v>
      </c>
      <c r="U55" s="35"/>
    </row>
    <row r="56" spans="1:22" ht="15.75" thickTop="1" x14ac:dyDescent="0.25">
      <c r="A56" s="58" t="s">
        <v>39</v>
      </c>
      <c r="B56" s="59"/>
      <c r="I56" s="20" t="s">
        <v>75</v>
      </c>
      <c r="J56" s="16" t="str">
        <f>_xll.EVUSR()</f>
        <v>kaiahola</v>
      </c>
      <c r="U56" s="35"/>
    </row>
    <row r="57" spans="1:22" ht="15.75" thickBot="1" x14ac:dyDescent="0.3">
      <c r="A57" s="6" t="s">
        <v>40</v>
      </c>
      <c r="B57" s="7"/>
      <c r="F57" s="63">
        <v>37</v>
      </c>
      <c r="I57" s="20" t="s">
        <v>76</v>
      </c>
      <c r="J57" s="21">
        <f ca="1">TODAY()</f>
        <v>41166</v>
      </c>
      <c r="U57" s="35"/>
    </row>
    <row r="58" spans="1:22" ht="15.75" thickTop="1" x14ac:dyDescent="0.25">
      <c r="A58" s="6" t="s">
        <v>41</v>
      </c>
      <c r="B58" s="7"/>
      <c r="U58" s="35"/>
    </row>
    <row r="59" spans="1:22" x14ac:dyDescent="0.25">
      <c r="A59" s="6" t="s">
        <v>42</v>
      </c>
      <c r="B59" s="7"/>
      <c r="F59" s="26">
        <v>40</v>
      </c>
      <c r="U59" s="35"/>
    </row>
    <row r="60" spans="1:22" x14ac:dyDescent="0.25">
      <c r="U60" s="35"/>
    </row>
    <row r="61" spans="1:22" x14ac:dyDescent="0.25">
      <c r="U61" s="35"/>
    </row>
    <row r="62" spans="1:22" ht="21.75" customHeight="1" x14ac:dyDescent="0.25">
      <c r="F62" s="26">
        <v>410</v>
      </c>
      <c r="U62" s="35"/>
    </row>
    <row r="63" spans="1:22" ht="21" customHeight="1" x14ac:dyDescent="0.25">
      <c r="F63" s="26">
        <v>415</v>
      </c>
      <c r="U63" s="35"/>
    </row>
    <row r="64" spans="1:22" ht="21" customHeight="1" x14ac:dyDescent="0.25">
      <c r="F64" s="26">
        <v>423</v>
      </c>
      <c r="U64" s="35"/>
      <c r="V64" s="81"/>
    </row>
    <row r="65" spans="6:21" x14ac:dyDescent="0.25">
      <c r="U65" s="35"/>
    </row>
    <row r="66" spans="6:21" x14ac:dyDescent="0.25">
      <c r="F66" s="26">
        <v>43</v>
      </c>
      <c r="U66" s="35"/>
    </row>
    <row r="67" spans="6:21" x14ac:dyDescent="0.25">
      <c r="F67" s="27">
        <v>430</v>
      </c>
      <c r="U67" s="35"/>
    </row>
    <row r="68" spans="6:21" x14ac:dyDescent="0.25">
      <c r="F68" s="27">
        <v>434</v>
      </c>
      <c r="U68" s="35"/>
    </row>
    <row r="69" spans="6:21" x14ac:dyDescent="0.25">
      <c r="F69" s="26">
        <v>45</v>
      </c>
      <c r="U69" s="35"/>
    </row>
    <row r="70" spans="6:21" x14ac:dyDescent="0.25">
      <c r="F70" s="26">
        <v>47</v>
      </c>
      <c r="U70" s="35"/>
    </row>
    <row r="71" spans="6:21" x14ac:dyDescent="0.25">
      <c r="F71" s="26">
        <v>480</v>
      </c>
      <c r="U71" s="35"/>
    </row>
    <row r="72" spans="6:21" x14ac:dyDescent="0.25">
      <c r="F72" s="26">
        <v>490</v>
      </c>
      <c r="U72" s="35"/>
    </row>
    <row r="73" spans="6:21" x14ac:dyDescent="0.25">
      <c r="U73" s="35"/>
    </row>
    <row r="74" spans="6:21" ht="15.75" thickBot="1" x14ac:dyDescent="0.3">
      <c r="F74" s="62"/>
      <c r="U74" s="35"/>
    </row>
    <row r="75" spans="6:21" ht="15.75" thickTop="1" x14ac:dyDescent="0.25">
      <c r="U75" s="35"/>
    </row>
    <row r="76" spans="6:21" ht="15.75" thickBot="1" x14ac:dyDescent="0.3">
      <c r="F76" s="62"/>
      <c r="U76" s="35"/>
    </row>
    <row r="77" spans="6:21" ht="15.75" thickTop="1" x14ac:dyDescent="0.25">
      <c r="U77" s="35"/>
    </row>
    <row r="78" spans="6:21" x14ac:dyDescent="0.25">
      <c r="F78" s="26">
        <v>70</v>
      </c>
      <c r="U78" s="35"/>
    </row>
    <row r="79" spans="6:21" x14ac:dyDescent="0.25">
      <c r="F79" s="26">
        <v>80</v>
      </c>
      <c r="U79" s="35"/>
    </row>
    <row r="80" spans="6:21" x14ac:dyDescent="0.25">
      <c r="F80" s="26">
        <v>85</v>
      </c>
      <c r="U80" s="35"/>
    </row>
    <row r="81" spans="6:21" x14ac:dyDescent="0.25">
      <c r="U81" s="35"/>
    </row>
    <row r="82" spans="6:21" ht="15.75" thickBot="1" x14ac:dyDescent="0.3">
      <c r="F82" s="62"/>
      <c r="U82" s="35"/>
    </row>
    <row r="83" spans="6:21" ht="15.75" thickTop="1" x14ac:dyDescent="0.25">
      <c r="U83" s="35"/>
    </row>
    <row r="84" spans="6:21" x14ac:dyDescent="0.25">
      <c r="F84" s="64"/>
      <c r="U84" s="35"/>
    </row>
    <row r="85" spans="6:21" ht="15.75" thickBot="1" x14ac:dyDescent="0.3">
      <c r="F85" s="62"/>
      <c r="U85" s="35"/>
    </row>
    <row r="86" spans="6:21" ht="15.75" thickTop="1" x14ac:dyDescent="0.25">
      <c r="U86" s="35"/>
    </row>
    <row r="87" spans="6:21" x14ac:dyDescent="0.25">
      <c r="F87" s="53"/>
      <c r="U87" s="35"/>
    </row>
    <row r="88" spans="6:21" x14ac:dyDescent="0.25">
      <c r="U88" s="35"/>
    </row>
  </sheetData>
  <sheetProtection sheet="1" objects="1" scenarios="1"/>
  <dataValidations count="2">
    <dataValidation type="list" allowBlank="1" sqref="B35:E35">
      <formula1>"AIKA,KUMPPANI,KUSTANNUSPAIKKA,MEASURES,TILAUS,TILI,TOIMINTOALUE,TYYPPI,VERSIO,YRITYS"</formula1>
    </dataValidation>
    <dataValidation type="list" allowBlank="1" sqref="B36:E36">
      <formula1>"SELF,ALL,BAS,DEP,BASMEMBERS,MEMBERS,NOEXPAND,GDEP"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Käyttötalousosa</vt:lpstr>
      <vt:lpstr>I</vt:lpstr>
      <vt:lpstr>P</vt:lpstr>
      <vt:lpstr>Käyttötalousosa!Tulostusalue</vt:lpstr>
      <vt:lpstr>Käyttötalousosa!Tulostusotsikot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Ahola Kaija</dc:creator>
  <cp:lastModifiedBy>Siekkinen Jaana</cp:lastModifiedBy>
  <cp:lastPrinted>2012-09-14T08:30:50Z</cp:lastPrinted>
  <dcterms:created xsi:type="dcterms:W3CDTF">2010-05-28T12:23:00Z</dcterms:created>
  <dcterms:modified xsi:type="dcterms:W3CDTF">2012-09-14T08:40:53Z</dcterms:modified>
</cp:coreProperties>
</file>