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335" windowHeight="5670" activeTab="0"/>
  </bookViews>
  <sheets>
    <sheet name="te52" sheetId="1" r:id="rId1"/>
    <sheet name="inv" sheetId="2" r:id="rId2"/>
    <sheet name="ots" sheetId="3" r:id="rId3"/>
  </sheets>
  <definedNames>
    <definedName name="tulosalue">'te52'!$A$42:$E$42</definedName>
    <definedName name="tulostus">'te52'!$A$2:$I$41</definedName>
    <definedName name="_xlnm.Print_Area" localSheetId="1">'inv'!$A$1:$H$22</definedName>
    <definedName name="_xlnm.Print_Area" localSheetId="0">'te52'!$A$1:$I$63</definedName>
  </definedNames>
  <calcPr fullCalcOnLoad="1"/>
</workbook>
</file>

<file path=xl/comments1.xml><?xml version="1.0" encoding="utf-8"?>
<comments xmlns="http://schemas.openxmlformats.org/spreadsheetml/2006/main">
  <authors>
    <author>Liisa Fossi</author>
  </authors>
  <commentList>
    <comment ref="G9" authorId="0">
      <text>
        <r>
          <rPr>
            <sz val="8"/>
            <rFont val="Tahoma"/>
            <family val="2"/>
          </rPr>
          <t>MUUTA SARAKE oikeaski, KUN KJN LUVUT TULEVAT</t>
        </r>
      </text>
    </comment>
    <comment ref="A42" authorId="0">
      <text>
        <r>
          <rPr>
            <sz val="8"/>
            <rFont val="Tahoma"/>
            <family val="2"/>
          </rPr>
          <t xml:space="preserve">luontoisedut 2.240 eliminoitu
</t>
        </r>
      </text>
    </comment>
  </commentList>
</comments>
</file>

<file path=xl/sharedStrings.xml><?xml version="1.0" encoding="utf-8"?>
<sst xmlns="http://schemas.openxmlformats.org/spreadsheetml/2006/main" count="91" uniqueCount="70">
  <si>
    <t>Muutos-%</t>
  </si>
  <si>
    <t>TILIKAUDEN TULOS</t>
  </si>
  <si>
    <t>SISÄISET ERÄT</t>
  </si>
  <si>
    <t>TOIMINTAKULUT</t>
  </si>
  <si>
    <t>TOIMINTATUOTOT</t>
  </si>
  <si>
    <t>TOIMINTAKULUISTA</t>
  </si>
  <si>
    <t>TOIMINTATUOTOISTA</t>
  </si>
  <si>
    <t>VARSINAINEN TOIMINTA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</si>
  <si>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</si>
  <si>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</si>
  <si>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</si>
  <si>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</si>
  <si>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</si>
  <si>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</si>
  <si>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VALMISTUS OMAAN KÄYTTÖÖN</t>
  </si>
  <si>
    <t>Henkilöstökulut</t>
  </si>
  <si>
    <t xml:space="preserve">  Palkat ja palkkiot</t>
  </si>
  <si>
    <t xml:space="preserve">  Henkilösivukulut</t>
  </si>
  <si>
    <t>Palvelujen ostot</t>
  </si>
  <si>
    <t>Aineet, tarvikkeet ja tavarat</t>
  </si>
  <si>
    <t>Avustukset</t>
  </si>
  <si>
    <t>Muut toimintakulut</t>
  </si>
  <si>
    <t>TOIMINTAKATE</t>
  </si>
  <si>
    <t>Poistot ja arvonalentumiset</t>
  </si>
  <si>
    <t>Toimintatuotot</t>
  </si>
  <si>
    <t>Toimintakulut</t>
  </si>
  <si>
    <t>Toimintakate</t>
  </si>
  <si>
    <t>Käyttötalousosa</t>
  </si>
  <si>
    <t>Asiakaspalvelujen ostot</t>
  </si>
  <si>
    <t xml:space="preserve">  Sisäiset vuokrat</t>
  </si>
  <si>
    <t>Määrärahat ja tuloerät</t>
  </si>
  <si>
    <t>Tuloslaskelma</t>
  </si>
  <si>
    <t>Netto</t>
  </si>
  <si>
    <t>Investointiosa</t>
  </si>
  <si>
    <t>Menot</t>
  </si>
  <si>
    <t>Tulot</t>
  </si>
  <si>
    <t xml:space="preserve">Tulosalueet
</t>
  </si>
  <si>
    <t>Toimintatuotot (R5)– Tulosalueiden toimintatuotot yhteensä</t>
  </si>
  <si>
    <t>Toimintakulut (R6) – Tulosalueiden toimintakulut yhteensä</t>
  </si>
  <si>
    <t>Toimintakate (R8) – Tulosalueiden netot yhteensä</t>
  </si>
  <si>
    <t>MENOT</t>
  </si>
  <si>
    <t>TULOT</t>
  </si>
  <si>
    <t>NETTO</t>
  </si>
  <si>
    <t>josta käyttötalousosaan kirjattavan myyntivoiton/
myyntitappion osuus</t>
  </si>
  <si>
    <t xml:space="preserve">  johon sis. mks:iä</t>
  </si>
  <si>
    <t>LIIKUNTALAUTAKUNTA</t>
  </si>
  <si>
    <t>LIIKUNTALAUTAKUNTA, YHTEISET</t>
  </si>
  <si>
    <t>LIIKUNTAPALVELUKESKUS, HALLINTO-OSASTO</t>
  </si>
  <si>
    <t>LIIKUNTAPALVELUKESKUS, JÄRJESTÖLIIKUNTA</t>
  </si>
  <si>
    <t>LIIKUNTAPALVELUKESKUS, OMATOIMINEN</t>
  </si>
  <si>
    <t>LIIKUNTAPALVELUKESKUS, LIIKUNTAPAIKAT</t>
  </si>
  <si>
    <t>Hk 2012
(€)</t>
  </si>
  <si>
    <t>Hkn ehdotus
(€)</t>
  </si>
  <si>
    <t>INVESTOINNIT</t>
  </si>
  <si>
    <t>Investointimenot</t>
  </si>
  <si>
    <t>Asuinrakennukset</t>
  </si>
  <si>
    <t>Muut rakennukset</t>
  </si>
  <si>
    <t>Kuljetusvälineet</t>
  </si>
  <si>
    <t>Muut koneet ja kalusto</t>
  </si>
  <si>
    <t>Kiinteät rakenteet ja laitteet</t>
  </si>
  <si>
    <t>Maa- ja vesialueet</t>
  </si>
  <si>
    <t>Osakkeet ja osuudet</t>
  </si>
  <si>
    <t>Muut aineelliset hyödykkeet</t>
  </si>
  <si>
    <t>IT-hankinnat</t>
  </si>
  <si>
    <t>Tietoliikenne</t>
  </si>
  <si>
    <t>Valtionosuudet ja muut 
rahoitusosuudet</t>
  </si>
  <si>
    <t>Pysyvien vastaavien luovutustulot,</t>
  </si>
  <si>
    <t>11.10.poistettiin henk. Koht. Vak. 35.000</t>
  </si>
  <si>
    <t>Ennuste III
2011 (€)</t>
  </si>
  <si>
    <t>Talous-
arvio
2012
(€)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</si>
</sst>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.0_);\(#,##0.0\)"/>
    <numFmt numFmtId="174" formatCode=";;;"/>
    <numFmt numFmtId="175" formatCode="#,##0.0"/>
    <numFmt numFmtId="176" formatCode="#,##0.000"/>
    <numFmt numFmtId="177" formatCode="#,##0.0000"/>
    <numFmt numFmtId="178" formatCode="#,##0&quot;mk&quot;_);\(#,##0&quot;mk&quot;\)"/>
    <numFmt numFmtId="179" formatCode="#,##0.00_);\(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left" vertical="top"/>
      <protection locked="0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175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vertical="top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 applyBorder="1" applyAlignment="1" applyProtection="1" quotePrefix="1">
      <alignment horizontal="left" wrapText="1"/>
      <protection/>
    </xf>
    <xf numFmtId="3" fontId="1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E65" sqref="E65"/>
    </sheetView>
  </sheetViews>
  <sheetFormatPr defaultColWidth="9.140625" defaultRowHeight="12.75"/>
  <cols>
    <col min="1" max="1" width="22.421875" style="4" customWidth="1"/>
    <col min="2" max="2" width="10.7109375" style="4" customWidth="1"/>
    <col min="3" max="3" width="10.7109375" style="4" bestFit="1" customWidth="1"/>
    <col min="4" max="6" width="10.7109375" style="4" customWidth="1"/>
    <col min="7" max="9" width="8.28125" style="4" bestFit="1" customWidth="1"/>
    <col min="10" max="10" width="13.28125" style="3" bestFit="1" customWidth="1"/>
    <col min="11" max="11" width="9.421875" style="3" bestFit="1" customWidth="1"/>
    <col min="12" max="12" width="13.421875" style="3" bestFit="1" customWidth="1"/>
    <col min="13" max="16384" width="9.140625" style="4" customWidth="1"/>
  </cols>
  <sheetData>
    <row r="1" spans="1:10" ht="24.75" customHeight="1">
      <c r="A1" s="38" t="s">
        <v>45</v>
      </c>
      <c r="B1" s="1"/>
      <c r="C1" s="1"/>
      <c r="D1" s="1"/>
      <c r="E1" s="1"/>
      <c r="F1" s="1"/>
      <c r="G1" s="1"/>
      <c r="H1" s="1"/>
      <c r="I1" s="1"/>
      <c r="J1" s="2" t="s">
        <v>37</v>
      </c>
    </row>
    <row r="2" spans="1:10" ht="24.75" customHeight="1">
      <c r="A2" s="5" t="s">
        <v>30</v>
      </c>
      <c r="J2" s="2" t="s">
        <v>38</v>
      </c>
    </row>
    <row r="3" spans="1:10" ht="51">
      <c r="A3" s="6"/>
      <c r="B3" s="7" t="str">
        <f>"TP "&amp;ots!$A$1-2&amp;"
(€)"</f>
        <v>TP 2010
(€)</v>
      </c>
      <c r="C3" s="7" t="str">
        <f>"TA "&amp;ots!$A$1-1&amp;"
(€)"</f>
        <v>TA 2011
(€)</v>
      </c>
      <c r="D3" s="7" t="s">
        <v>68</v>
      </c>
      <c r="E3" s="7" t="s">
        <v>52</v>
      </c>
      <c r="F3" s="7" t="s">
        <v>69</v>
      </c>
      <c r="G3" s="7" t="str">
        <f>"TS "&amp;ots!$A$1+1&amp;"
(1.000 €)"</f>
        <v>TS 2013
(1.000 €)</v>
      </c>
      <c r="H3" s="7" t="str">
        <f>"TS "&amp;ots!$A$1+2&amp;"
(1.000 €)"</f>
        <v>TS 2014
(1.000 €)</v>
      </c>
      <c r="I3" s="7" t="str">
        <f>"TS "&amp;ots!$A$1+3&amp;"
(1.000 €)"</f>
        <v>TS 2015
(1.000 €)</v>
      </c>
      <c r="J3" s="2" t="s">
        <v>39</v>
      </c>
    </row>
    <row r="4" spans="1:12" ht="12.75">
      <c r="A4" s="8" t="s">
        <v>27</v>
      </c>
      <c r="B4" s="9"/>
      <c r="C4" s="9"/>
      <c r="D4" s="9"/>
      <c r="E4" s="9"/>
      <c r="F4" s="9"/>
      <c r="G4" s="9"/>
      <c r="H4" s="9"/>
      <c r="I4" s="9"/>
      <c r="J4" s="3" t="str">
        <f>"TP "&amp;ots!$A$1-2</f>
        <v>TP 2010</v>
      </c>
      <c r="K4" s="3" t="str">
        <f>"TA "&amp;ots!$A$1-1</f>
        <v>TA 2011</v>
      </c>
      <c r="L4" s="3" t="str">
        <f>"HK "&amp;ots!$A$1</f>
        <v>HK 2012</v>
      </c>
    </row>
    <row r="5" spans="1:12" ht="12.75">
      <c r="A5" s="6" t="s">
        <v>24</v>
      </c>
      <c r="B5" s="10">
        <f>SUM(B16+B23)</f>
        <v>2017059.8</v>
      </c>
      <c r="C5" s="10">
        <f>SUM(C16+C23)</f>
        <v>2289522</v>
      </c>
      <c r="D5" s="10">
        <v>2011827</v>
      </c>
      <c r="E5" s="10">
        <f>SUM(E16+E23)</f>
        <v>3717708</v>
      </c>
      <c r="F5" s="11">
        <v>3717708</v>
      </c>
      <c r="G5" s="12"/>
      <c r="H5" s="12"/>
      <c r="I5" s="12"/>
      <c r="J5" s="3">
        <f>+B5-B45-B49-B53-B57-B61</f>
        <v>0</v>
      </c>
      <c r="K5" s="3">
        <f>+C5-C45-C49-C53-C57-C61</f>
        <v>0</v>
      </c>
      <c r="L5" s="3">
        <f>+E5-E45-E49-E53-E57-E61</f>
        <v>0</v>
      </c>
    </row>
    <row r="6" spans="1:12" ht="12.75">
      <c r="A6" s="6" t="s">
        <v>25</v>
      </c>
      <c r="B6" s="10">
        <f>SUM(B24)</f>
        <v>17222865.259999998</v>
      </c>
      <c r="C6" s="10">
        <f>SUM(C24)</f>
        <v>17814122</v>
      </c>
      <c r="D6" s="10">
        <v>17711603</v>
      </c>
      <c r="E6" s="10">
        <f>SUM(E24)</f>
        <v>19947128</v>
      </c>
      <c r="F6" s="11">
        <f>19924712+4416+60000-42000</f>
        <v>19947128</v>
      </c>
      <c r="G6" s="12"/>
      <c r="H6" s="12"/>
      <c r="I6" s="12"/>
      <c r="J6" s="3">
        <f>+B6-B46-B50-B54-B58-B62</f>
        <v>0</v>
      </c>
      <c r="K6" s="3">
        <f>+C6-C46-C50-C54-C58-C62</f>
        <v>0</v>
      </c>
      <c r="L6" s="3">
        <f>+E6-E46-E50-E54-E58-E62</f>
        <v>0</v>
      </c>
    </row>
    <row r="7" spans="1:9" ht="12.75">
      <c r="A7" s="48" t="s">
        <v>44</v>
      </c>
      <c r="B7" s="12">
        <v>37344.91</v>
      </c>
      <c r="C7" s="10"/>
      <c r="D7" s="10"/>
      <c r="E7" s="10"/>
      <c r="F7" s="12"/>
      <c r="G7" s="12"/>
      <c r="H7" s="12"/>
      <c r="I7" s="12"/>
    </row>
    <row r="8" spans="1:12" ht="12.75">
      <c r="A8" s="6" t="s">
        <v>26</v>
      </c>
      <c r="B8" s="10">
        <f>+B5-B6</f>
        <v>-15205805.459999997</v>
      </c>
      <c r="C8" s="10">
        <f>+C5-C6</f>
        <v>-15524600</v>
      </c>
      <c r="D8" s="10">
        <f>+D5-D6</f>
        <v>-15699776</v>
      </c>
      <c r="E8" s="10">
        <f>+E5-E6</f>
        <v>-16229420</v>
      </c>
      <c r="F8" s="10">
        <f>+F5-F6</f>
        <v>-16229420</v>
      </c>
      <c r="G8" s="11">
        <f>-16532</f>
        <v>-16532</v>
      </c>
      <c r="H8" s="11">
        <f>-18360+1000+250</f>
        <v>-17110</v>
      </c>
      <c r="I8" s="11">
        <f>-18782+1070+260</f>
        <v>-17452</v>
      </c>
      <c r="J8" s="3">
        <f>+B8-B47-B51-B55-B59-B63</f>
        <v>0</v>
      </c>
      <c r="K8" s="3">
        <f>+C8-C47-C51-C55-C59-C63</f>
        <v>0</v>
      </c>
      <c r="L8" s="3">
        <f>+E8-E47-E51-E55-E59-E63</f>
        <v>0</v>
      </c>
    </row>
    <row r="9" spans="1:9" ht="12.75">
      <c r="A9" s="13" t="s">
        <v>0</v>
      </c>
      <c r="B9" s="14"/>
      <c r="C9" s="15">
        <f>IF(ISERR(100*C8/B8-100),0,100*C8/B8-100)</f>
        <v>2.096531754523724</v>
      </c>
      <c r="D9" s="15">
        <f>IF(ISERR(100*D8/B8-100),0,100*D8/B8-100)</f>
        <v>3.248565433113228</v>
      </c>
      <c r="E9" s="16">
        <f>IF(ISERR(100*E8/C8-100),0,100*E8/C8-100)</f>
        <v>4.54002035479175</v>
      </c>
      <c r="F9" s="15">
        <f>IF(ISERR(100*F8/C8-100),0,100*F8/C8-100)</f>
        <v>4.54002035479175</v>
      </c>
      <c r="G9" s="16">
        <f>IF(ISERR(100*G8*1000/F8-100),0,100*G8*1000/F8-100)</f>
        <v>1.8643919499279633</v>
      </c>
      <c r="H9" s="15">
        <f>IF(ISERR(100*H8/G8-100),0,100*H8/G8-100)</f>
        <v>3.4962496975562516</v>
      </c>
      <c r="I9" s="15">
        <f>IF(ISERR(100*I8/H8-100),0,100*I8/H8-100)</f>
        <v>1.9988310929281141</v>
      </c>
    </row>
    <row r="10" spans="1:9" ht="12.75">
      <c r="A10" s="8" t="s">
        <v>33</v>
      </c>
      <c r="B10" s="14"/>
      <c r="C10" s="15"/>
      <c r="D10" s="15"/>
      <c r="E10" s="16"/>
      <c r="F10" s="15"/>
      <c r="G10" s="16"/>
      <c r="H10" s="15"/>
      <c r="I10" s="15"/>
    </row>
    <row r="11" spans="1:9" ht="12.75">
      <c r="A11" s="6" t="s">
        <v>34</v>
      </c>
      <c r="B11" s="9">
        <f>inv!B4</f>
        <v>436500</v>
      </c>
      <c r="C11" s="17">
        <f>inv!C4</f>
        <v>990000</v>
      </c>
      <c r="D11" s="17">
        <v>765295</v>
      </c>
      <c r="E11" s="18">
        <f>inv!D4</f>
        <v>400000</v>
      </c>
      <c r="F11" s="19">
        <f>inv!E4</f>
        <v>400000</v>
      </c>
      <c r="G11" s="20">
        <f>inv!F4</f>
        <v>200</v>
      </c>
      <c r="H11" s="19">
        <f>inv!G4</f>
        <v>0</v>
      </c>
      <c r="I11" s="19">
        <f>inv!H4</f>
        <v>0</v>
      </c>
    </row>
    <row r="12" spans="1:9" ht="12.75">
      <c r="A12" s="6" t="s">
        <v>35</v>
      </c>
      <c r="B12" s="9">
        <f>inv!B5</f>
        <v>76851</v>
      </c>
      <c r="C12" s="17">
        <f>inv!C5</f>
        <v>86000</v>
      </c>
      <c r="D12" s="17">
        <v>50000</v>
      </c>
      <c r="E12" s="18">
        <f>inv!D5</f>
        <v>35000</v>
      </c>
      <c r="F12" s="19">
        <f>inv!E5</f>
        <v>35000</v>
      </c>
      <c r="G12" s="20">
        <f>inv!F5</f>
        <v>50</v>
      </c>
      <c r="H12" s="19">
        <f>inv!G5</f>
        <v>0</v>
      </c>
      <c r="I12" s="19">
        <f>inv!H5</f>
        <v>0</v>
      </c>
    </row>
    <row r="13" spans="1:9" ht="12.75">
      <c r="A13" s="21" t="s">
        <v>32</v>
      </c>
      <c r="B13" s="9">
        <f aca="true" t="shared" si="0" ref="B13:I13">-B11+B12</f>
        <v>-359649</v>
      </c>
      <c r="C13" s="9">
        <f t="shared" si="0"/>
        <v>-904000</v>
      </c>
      <c r="D13" s="9">
        <f t="shared" si="0"/>
        <v>-715295</v>
      </c>
      <c r="E13" s="9">
        <f t="shared" si="0"/>
        <v>-365000</v>
      </c>
      <c r="F13" s="9">
        <f t="shared" si="0"/>
        <v>-365000</v>
      </c>
      <c r="G13" s="9">
        <f t="shared" si="0"/>
        <v>-150</v>
      </c>
      <c r="H13" s="9">
        <f t="shared" si="0"/>
        <v>0</v>
      </c>
      <c r="I13" s="9">
        <f t="shared" si="0"/>
        <v>0</v>
      </c>
    </row>
    <row r="14" spans="1:10" ht="12.75">
      <c r="A14" s="22" t="s">
        <v>31</v>
      </c>
      <c r="B14" s="9"/>
      <c r="C14" s="9"/>
      <c r="D14" s="9"/>
      <c r="E14" s="9"/>
      <c r="F14" s="9"/>
      <c r="G14" s="9"/>
      <c r="H14" s="9"/>
      <c r="I14" s="9"/>
      <c r="J14" s="2" t="s">
        <v>67</v>
      </c>
    </row>
    <row r="15" spans="1:9" ht="12.75">
      <c r="A15" s="23" t="s">
        <v>7</v>
      </c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23" t="s">
        <v>4</v>
      </c>
      <c r="B16" s="24">
        <f>SUM(B17:B22)</f>
        <v>2017059.8</v>
      </c>
      <c r="C16" s="24">
        <f>SUM(C17:C22)</f>
        <v>2289522</v>
      </c>
      <c r="D16" s="24"/>
      <c r="E16" s="24">
        <f>SUM(E17:E22)</f>
        <v>3717708</v>
      </c>
      <c r="F16" s="10"/>
      <c r="G16" s="10"/>
      <c r="H16" s="10"/>
      <c r="I16" s="10"/>
    </row>
    <row r="17" spans="1:9" ht="12.75">
      <c r="A17" s="25" t="s">
        <v>8</v>
      </c>
      <c r="B17" s="12">
        <v>116281.78</v>
      </c>
      <c r="C17" s="26">
        <v>31091</v>
      </c>
      <c r="D17" s="26"/>
      <c r="E17" s="26">
        <v>53298</v>
      </c>
      <c r="F17" s="9"/>
      <c r="G17" s="9"/>
      <c r="H17" s="9"/>
      <c r="I17" s="9"/>
    </row>
    <row r="18" spans="1:9" ht="12.75">
      <c r="A18" s="25" t="s">
        <v>9</v>
      </c>
      <c r="B18" s="12">
        <v>1011861.99</v>
      </c>
      <c r="C18" s="27">
        <v>1847203</v>
      </c>
      <c r="D18" s="27"/>
      <c r="E18" s="27">
        <v>2980200</v>
      </c>
      <c r="F18" s="28"/>
      <c r="G18" s="28"/>
      <c r="H18" s="28"/>
      <c r="I18" s="28"/>
    </row>
    <row r="19" spans="1:9" ht="12.75">
      <c r="A19" s="25" t="s">
        <v>10</v>
      </c>
      <c r="B19" s="12">
        <v>63692.95</v>
      </c>
      <c r="C19" s="27">
        <v>20000</v>
      </c>
      <c r="D19" s="27"/>
      <c r="E19" s="27">
        <v>17500</v>
      </c>
      <c r="F19" s="28"/>
      <c r="G19" s="28"/>
      <c r="H19" s="28"/>
      <c r="I19" s="28"/>
    </row>
    <row r="20" spans="1:9" ht="12.75">
      <c r="A20" s="25" t="s">
        <v>11</v>
      </c>
      <c r="B20" s="28"/>
      <c r="C20" s="28"/>
      <c r="D20" s="28"/>
      <c r="E20" s="28"/>
      <c r="F20" s="28"/>
      <c r="G20" s="28"/>
      <c r="H20" s="28"/>
      <c r="I20" s="28"/>
    </row>
    <row r="21" spans="1:9" ht="12.75">
      <c r="A21" s="25" t="s">
        <v>12</v>
      </c>
      <c r="B21" s="12">
        <v>748565.59</v>
      </c>
      <c r="C21" s="27">
        <v>334228</v>
      </c>
      <c r="D21" s="27"/>
      <c r="E21" s="27">
        <v>596710</v>
      </c>
      <c r="F21" s="28"/>
      <c r="G21" s="28"/>
      <c r="H21" s="28"/>
      <c r="I21" s="28"/>
    </row>
    <row r="22" spans="1:9" ht="12.75">
      <c r="A22" s="25" t="s">
        <v>13</v>
      </c>
      <c r="B22" s="12">
        <f>78897.49-2240</f>
        <v>76657.49</v>
      </c>
      <c r="C22" s="27">
        <v>57000</v>
      </c>
      <c r="D22" s="27"/>
      <c r="E22" s="27">
        <v>70000</v>
      </c>
      <c r="F22" s="28"/>
      <c r="G22" s="28"/>
      <c r="H22" s="28"/>
      <c r="I22" s="28"/>
    </row>
    <row r="23" spans="1:9" ht="25.5">
      <c r="A23" s="29" t="s">
        <v>14</v>
      </c>
      <c r="B23" s="30">
        <v>0</v>
      </c>
      <c r="C23" s="31">
        <v>0</v>
      </c>
      <c r="D23" s="31"/>
      <c r="E23" s="31">
        <v>0</v>
      </c>
      <c r="F23" s="28"/>
      <c r="G23" s="28"/>
      <c r="H23" s="28"/>
      <c r="I23" s="28"/>
    </row>
    <row r="24" spans="1:9" ht="12.75">
      <c r="A24" s="23" t="s">
        <v>3</v>
      </c>
      <c r="B24" s="32">
        <f>SUM(B26:B35)</f>
        <v>17222865.259999998</v>
      </c>
      <c r="C24" s="32">
        <f>SUM(C26:C35)</f>
        <v>17814122</v>
      </c>
      <c r="D24" s="32"/>
      <c r="E24" s="32">
        <f>SUM(E26:E35)</f>
        <v>19947128</v>
      </c>
      <c r="F24" s="28"/>
      <c r="G24" s="28"/>
      <c r="H24" s="28"/>
      <c r="I24" s="28"/>
    </row>
    <row r="25" spans="1:9" ht="12.75">
      <c r="A25" s="25" t="s">
        <v>15</v>
      </c>
      <c r="B25" s="28"/>
      <c r="C25" s="28"/>
      <c r="D25" s="28"/>
      <c r="E25" s="28">
        <f>SUM(E26:E27)</f>
        <v>4674482</v>
      </c>
      <c r="F25" s="28"/>
      <c r="G25" s="28"/>
      <c r="H25" s="28"/>
      <c r="I25" s="28"/>
    </row>
    <row r="26" spans="1:9" ht="12.75">
      <c r="A26" s="25" t="s">
        <v>16</v>
      </c>
      <c r="B26" s="12">
        <f>2960374.19-74539.63-2240</f>
        <v>2883594.56</v>
      </c>
      <c r="C26" s="27">
        <v>3168960</v>
      </c>
      <c r="D26" s="27"/>
      <c r="E26" s="27">
        <v>3516861</v>
      </c>
      <c r="F26" s="28"/>
      <c r="G26" s="28"/>
      <c r="H26" s="28"/>
      <c r="I26" s="28"/>
    </row>
    <row r="27" spans="1:9" ht="12.75">
      <c r="A27" s="25" t="s">
        <v>17</v>
      </c>
      <c r="B27" s="12">
        <f>1029017.21</f>
        <v>1029017.21</v>
      </c>
      <c r="C27" s="27">
        <f>1087489</f>
        <v>1087489</v>
      </c>
      <c r="D27" s="27"/>
      <c r="E27" s="27">
        <v>1157621</v>
      </c>
      <c r="F27" s="28"/>
      <c r="G27" s="28"/>
      <c r="H27" s="28"/>
      <c r="I27" s="28"/>
    </row>
    <row r="28" spans="1:9" ht="12.75">
      <c r="A28" s="25" t="s">
        <v>18</v>
      </c>
      <c r="B28" s="12">
        <v>1874005.27</v>
      </c>
      <c r="C28" s="27">
        <v>1872441</v>
      </c>
      <c r="D28" s="27"/>
      <c r="E28" s="27">
        <v>1602731</v>
      </c>
      <c r="F28" s="28"/>
      <c r="G28" s="28"/>
      <c r="H28" s="28"/>
      <c r="I28" s="28"/>
    </row>
    <row r="29" spans="1:9" ht="12.75">
      <c r="A29" s="25" t="s">
        <v>28</v>
      </c>
      <c r="B29" s="12">
        <v>0</v>
      </c>
      <c r="C29" s="27">
        <v>0</v>
      </c>
      <c r="D29" s="27"/>
      <c r="E29" s="27">
        <v>0</v>
      </c>
      <c r="F29" s="28"/>
      <c r="G29" s="28"/>
      <c r="H29" s="28"/>
      <c r="I29" s="28"/>
    </row>
    <row r="30" spans="1:9" ht="12.75">
      <c r="A30" s="25" t="s">
        <v>19</v>
      </c>
      <c r="B30" s="12">
        <v>1602897.58</v>
      </c>
      <c r="C30" s="27">
        <v>1519356</v>
      </c>
      <c r="D30" s="27"/>
      <c r="E30" s="27">
        <v>1856978</v>
      </c>
      <c r="F30" s="28"/>
      <c r="G30" s="28"/>
      <c r="H30" s="28"/>
      <c r="I30" s="28"/>
    </row>
    <row r="31" spans="1:9" ht="12.75">
      <c r="A31" s="25" t="s">
        <v>20</v>
      </c>
      <c r="B31" s="12">
        <v>1661842.13</v>
      </c>
      <c r="C31" s="27">
        <v>1525000</v>
      </c>
      <c r="D31" s="27"/>
      <c r="E31" s="27">
        <v>1585000</v>
      </c>
      <c r="F31" s="28"/>
      <c r="G31" s="28"/>
      <c r="H31" s="28"/>
      <c r="I31" s="28"/>
    </row>
    <row r="32" spans="1:9" ht="12.75">
      <c r="A32" s="25" t="s">
        <v>21</v>
      </c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25" t="s">
        <v>12</v>
      </c>
      <c r="B33" s="12">
        <f>1982381.4+6124084</f>
        <v>8106465.4</v>
      </c>
      <c r="C33" s="27">
        <f>1744638+6876038</f>
        <v>8620676</v>
      </c>
      <c r="D33" s="27"/>
      <c r="E33" s="27">
        <v>10148499</v>
      </c>
      <c r="F33" s="28"/>
      <c r="G33" s="28"/>
      <c r="H33" s="28"/>
      <c r="I33" s="28"/>
    </row>
    <row r="34" spans="1:9" ht="12.75" hidden="1">
      <c r="A34" s="25" t="s">
        <v>29</v>
      </c>
      <c r="B34" s="12"/>
      <c r="C34" s="27"/>
      <c r="D34" s="27"/>
      <c r="E34" s="27"/>
      <c r="F34" s="28"/>
      <c r="G34" s="28"/>
      <c r="H34" s="28"/>
      <c r="I34" s="28"/>
    </row>
    <row r="35" spans="1:9" ht="12.75">
      <c r="A35" s="25" t="s">
        <v>13</v>
      </c>
      <c r="B35" s="12">
        <f>60909.75+4133.36</f>
        <v>65043.11</v>
      </c>
      <c r="C35" s="27">
        <v>20200</v>
      </c>
      <c r="D35" s="27"/>
      <c r="E35" s="27">
        <v>79438</v>
      </c>
      <c r="F35" s="28"/>
      <c r="G35" s="28"/>
      <c r="H35" s="28"/>
      <c r="I35" s="28"/>
    </row>
    <row r="36" spans="1:9" ht="12.75">
      <c r="A36" s="33" t="s">
        <v>22</v>
      </c>
      <c r="B36" s="34">
        <f>+B16+B23-B24</f>
        <v>-15205805.459999997</v>
      </c>
      <c r="C36" s="34">
        <f>+C16+C23-C24</f>
        <v>-15524600</v>
      </c>
      <c r="D36" s="34"/>
      <c r="E36" s="34">
        <f>+E16+E23-E24</f>
        <v>-16229420</v>
      </c>
      <c r="F36" s="28"/>
      <c r="G36" s="28"/>
      <c r="H36" s="28"/>
      <c r="I36" s="28"/>
    </row>
    <row r="37" spans="1:9" ht="12.75">
      <c r="A37" s="25" t="s">
        <v>23</v>
      </c>
      <c r="B37" s="12">
        <v>180251.78</v>
      </c>
      <c r="C37" s="27">
        <v>214523</v>
      </c>
      <c r="D37" s="27"/>
      <c r="E37" s="27">
        <v>214523</v>
      </c>
      <c r="F37" s="28"/>
      <c r="G37" s="28"/>
      <c r="H37" s="28"/>
      <c r="I37" s="28"/>
    </row>
    <row r="38" spans="1:9" ht="12.75">
      <c r="A38" s="23" t="s">
        <v>1</v>
      </c>
      <c r="B38" s="32">
        <f>+B36-B37</f>
        <v>-15386057.239999996</v>
      </c>
      <c r="C38" s="32">
        <f>+C36-C37</f>
        <v>-15739123</v>
      </c>
      <c r="D38" s="32"/>
      <c r="E38" s="32">
        <f>+E36-E37</f>
        <v>-16443943</v>
      </c>
      <c r="F38" s="28"/>
      <c r="G38" s="28"/>
      <c r="H38" s="28"/>
      <c r="I38" s="28"/>
    </row>
    <row r="39" spans="1:9" ht="12.75">
      <c r="A39" s="25" t="s">
        <v>2</v>
      </c>
      <c r="B39" s="28"/>
      <c r="C39" s="28"/>
      <c r="D39" s="28"/>
      <c r="E39" s="28"/>
      <c r="F39" s="28"/>
      <c r="G39" s="28"/>
      <c r="H39" s="28"/>
      <c r="I39" s="28"/>
    </row>
    <row r="40" spans="1:9" ht="12.75">
      <c r="A40" s="25" t="s">
        <v>6</v>
      </c>
      <c r="B40" s="12">
        <v>142503.22</v>
      </c>
      <c r="C40" s="27">
        <v>12000</v>
      </c>
      <c r="D40" s="27"/>
      <c r="E40" s="27">
        <v>0</v>
      </c>
      <c r="F40" s="28"/>
      <c r="G40" s="28"/>
      <c r="H40" s="28"/>
      <c r="I40" s="28"/>
    </row>
    <row r="41" spans="1:9" ht="12.75">
      <c r="A41" s="25" t="s">
        <v>5</v>
      </c>
      <c r="B41" s="12">
        <v>8010370.27</v>
      </c>
      <c r="C41" s="27">
        <v>8505823</v>
      </c>
      <c r="D41" s="27"/>
      <c r="E41" s="27">
        <v>9645306</v>
      </c>
      <c r="F41" s="28"/>
      <c r="G41" s="28"/>
      <c r="H41" s="28"/>
      <c r="I41" s="28"/>
    </row>
    <row r="42" spans="1:9" ht="25.5">
      <c r="A42" s="35" t="s">
        <v>36</v>
      </c>
      <c r="B42" s="7" t="str">
        <f>"TP "&amp;ots!$A$1-2&amp;"
(€)"</f>
        <v>TP 2010
(€)</v>
      </c>
      <c r="C42" s="7" t="str">
        <f>"TA "&amp;ots!$A$1-1&amp;"
(€)"</f>
        <v>TA 2011
(€)</v>
      </c>
      <c r="D42" s="7"/>
      <c r="E42" s="7" t="str">
        <f>"TAE "&amp;ots!$A$1&amp;"
(€)"</f>
        <v>TAE 2012
(€)</v>
      </c>
      <c r="F42" s="28"/>
      <c r="G42" s="28"/>
      <c r="H42" s="28"/>
      <c r="I42" s="28"/>
    </row>
    <row r="43" spans="1:12" ht="12.75">
      <c r="A43" s="37"/>
      <c r="B43" s="12"/>
      <c r="C43" s="27"/>
      <c r="D43" s="27"/>
      <c r="E43" s="7"/>
      <c r="F43" s="28"/>
      <c r="G43" s="28"/>
      <c r="H43" s="28"/>
      <c r="J43" s="4"/>
      <c r="K43" s="4"/>
      <c r="L43" s="4"/>
    </row>
    <row r="44" spans="1:12" ht="12.75">
      <c r="A44" s="36" t="s">
        <v>46</v>
      </c>
      <c r="B44" s="12"/>
      <c r="C44" s="27"/>
      <c r="D44" s="27"/>
      <c r="E44" s="28"/>
      <c r="F44" s="28"/>
      <c r="G44" s="28"/>
      <c r="H44" s="28"/>
      <c r="J44" s="4"/>
      <c r="K44" s="4"/>
      <c r="L44" s="4"/>
    </row>
    <row r="45" spans="1:12" ht="12.75">
      <c r="A45" s="37" t="s">
        <v>24</v>
      </c>
      <c r="B45" s="28"/>
      <c r="C45" s="27">
        <v>0</v>
      </c>
      <c r="D45" s="27"/>
      <c r="E45" s="27">
        <v>0</v>
      </c>
      <c r="F45" s="28"/>
      <c r="G45" s="28"/>
      <c r="H45" s="28"/>
      <c r="J45" s="4"/>
      <c r="K45" s="4"/>
      <c r="L45" s="4"/>
    </row>
    <row r="46" spans="1:12" ht="12.75">
      <c r="A46" s="37" t="s">
        <v>25</v>
      </c>
      <c r="C46" s="27">
        <v>8679735</v>
      </c>
      <c r="D46" s="27"/>
      <c r="E46" s="27">
        <v>9856176</v>
      </c>
      <c r="F46" s="28"/>
      <c r="G46" s="28"/>
      <c r="H46" s="28"/>
      <c r="J46" s="4"/>
      <c r="K46" s="4"/>
      <c r="L46" s="4"/>
    </row>
    <row r="47" spans="1:12" ht="12.75">
      <c r="A47" s="37" t="s">
        <v>32</v>
      </c>
      <c r="B47" s="28">
        <f>+B45-B46</f>
        <v>0</v>
      </c>
      <c r="C47" s="28">
        <f>+C45-C46</f>
        <v>-8679735</v>
      </c>
      <c r="D47" s="28"/>
      <c r="E47" s="28">
        <f>+E45-E46</f>
        <v>-9856176</v>
      </c>
      <c r="F47" s="28"/>
      <c r="G47" s="28"/>
      <c r="H47" s="28"/>
      <c r="J47" s="4"/>
      <c r="K47" s="4"/>
      <c r="L47" s="4"/>
    </row>
    <row r="48" spans="1:12" ht="12.75">
      <c r="A48" s="36" t="s">
        <v>47</v>
      </c>
      <c r="C48" s="28"/>
      <c r="D48" s="28"/>
      <c r="E48" s="28"/>
      <c r="F48" s="28"/>
      <c r="G48" s="28"/>
      <c r="H48" s="28"/>
      <c r="J48" s="4"/>
      <c r="K48" s="4"/>
      <c r="L48" s="4"/>
    </row>
    <row r="49" spans="1:12" ht="12.75">
      <c r="A49" s="37" t="s">
        <v>24</v>
      </c>
      <c r="B49" s="28">
        <f>57854.35-480</f>
        <v>57374.35</v>
      </c>
      <c r="C49" s="27">
        <v>20000</v>
      </c>
      <c r="D49" s="27"/>
      <c r="E49" s="27">
        <v>24307</v>
      </c>
      <c r="F49" s="28"/>
      <c r="G49" s="28"/>
      <c r="H49" s="28"/>
      <c r="J49" s="4"/>
      <c r="K49" s="4"/>
      <c r="L49" s="4"/>
    </row>
    <row r="50" spans="1:12" ht="12.75">
      <c r="A50" s="37" t="s">
        <v>25</v>
      </c>
      <c r="B50" s="4">
        <f>1618462.37-480</f>
        <v>1617982.37</v>
      </c>
      <c r="C50" s="27">
        <v>907665</v>
      </c>
      <c r="D50" s="27"/>
      <c r="E50" s="27">
        <v>1021220</v>
      </c>
      <c r="F50" s="28"/>
      <c r="G50" s="28"/>
      <c r="H50" s="28"/>
      <c r="J50" s="4"/>
      <c r="K50" s="4"/>
      <c r="L50" s="4"/>
    </row>
    <row r="51" spans="1:12" ht="12.75">
      <c r="A51" s="37" t="s">
        <v>32</v>
      </c>
      <c r="B51" s="28">
        <f>+B49-B50</f>
        <v>-1560608.02</v>
      </c>
      <c r="C51" s="28">
        <f>+C49-C50</f>
        <v>-887665</v>
      </c>
      <c r="D51" s="28"/>
      <c r="E51" s="28">
        <f>+E49-E50</f>
        <v>-996913</v>
      </c>
      <c r="F51" s="28"/>
      <c r="G51" s="28"/>
      <c r="H51" s="28"/>
      <c r="J51" s="4"/>
      <c r="K51" s="4"/>
      <c r="L51" s="4"/>
    </row>
    <row r="52" spans="1:12" ht="12.75">
      <c r="A52" s="36" t="s">
        <v>48</v>
      </c>
      <c r="C52" s="28"/>
      <c r="D52" s="28"/>
      <c r="E52" s="28"/>
      <c r="F52" s="28"/>
      <c r="G52" s="28"/>
      <c r="H52" s="28"/>
      <c r="J52" s="4"/>
      <c r="K52" s="4"/>
      <c r="L52" s="4"/>
    </row>
    <row r="53" spans="1:12" ht="12.75">
      <c r="A53" s="37" t="s">
        <v>24</v>
      </c>
      <c r="B53" s="4">
        <f>34524.03-240</f>
        <v>34284.03</v>
      </c>
      <c r="C53" s="27">
        <v>10000</v>
      </c>
      <c r="D53" s="27"/>
      <c r="E53" s="27">
        <v>7500</v>
      </c>
      <c r="F53" s="28"/>
      <c r="G53" s="28"/>
      <c r="H53" s="28"/>
      <c r="J53" s="4"/>
      <c r="K53" s="4"/>
      <c r="L53" s="4"/>
    </row>
    <row r="54" spans="1:12" ht="12.75">
      <c r="A54" s="37" t="s">
        <v>25</v>
      </c>
      <c r="B54" s="4">
        <f>2826595.69-240</f>
        <v>2826355.69</v>
      </c>
      <c r="C54" s="27">
        <v>2765622</v>
      </c>
      <c r="D54" s="27"/>
      <c r="E54" s="27">
        <v>2680500</v>
      </c>
      <c r="F54" s="28"/>
      <c r="G54" s="28"/>
      <c r="H54" s="28"/>
      <c r="J54" s="4"/>
      <c r="K54" s="4"/>
      <c r="L54" s="4"/>
    </row>
    <row r="55" spans="1:12" ht="12.75">
      <c r="A55" s="37" t="s">
        <v>32</v>
      </c>
      <c r="B55" s="28">
        <f>+B53-B54</f>
        <v>-2792071.66</v>
      </c>
      <c r="C55" s="28">
        <f>+C53-C54</f>
        <v>-2755622</v>
      </c>
      <c r="D55" s="28"/>
      <c r="E55" s="28">
        <f>+E53-E54</f>
        <v>-2673000</v>
      </c>
      <c r="F55" s="28"/>
      <c r="G55" s="28"/>
      <c r="H55" s="28"/>
      <c r="J55" s="4"/>
      <c r="K55" s="4"/>
      <c r="L55" s="4"/>
    </row>
    <row r="56" spans="1:12" ht="12.75">
      <c r="A56" s="36" t="s">
        <v>49</v>
      </c>
      <c r="C56" s="28"/>
      <c r="D56" s="28"/>
      <c r="E56" s="28"/>
      <c r="F56" s="28"/>
      <c r="G56" s="28"/>
      <c r="H56" s="28"/>
      <c r="J56" s="4"/>
      <c r="K56" s="4"/>
      <c r="L56" s="4"/>
    </row>
    <row r="57" spans="1:12" ht="12.75">
      <c r="A57" s="37" t="s">
        <v>24</v>
      </c>
      <c r="B57" s="4">
        <f>141764.99-240</f>
        <v>141524.99</v>
      </c>
      <c r="C57" s="27">
        <v>109000</v>
      </c>
      <c r="D57" s="27"/>
      <c r="E57" s="27">
        <v>160400</v>
      </c>
      <c r="F57" s="28"/>
      <c r="G57" s="28"/>
      <c r="H57" s="28"/>
      <c r="J57" s="4"/>
      <c r="K57" s="4"/>
      <c r="L57" s="4"/>
    </row>
    <row r="58" spans="1:12" ht="12.75">
      <c r="A58" s="37" t="s">
        <v>25</v>
      </c>
      <c r="B58" s="4">
        <f>924353.17-240</f>
        <v>924113.17</v>
      </c>
      <c r="C58" s="27">
        <v>1027490</v>
      </c>
      <c r="D58" s="27"/>
      <c r="E58" s="27">
        <v>1030400</v>
      </c>
      <c r="J58" s="4"/>
      <c r="K58" s="4"/>
      <c r="L58" s="4"/>
    </row>
    <row r="59" spans="1:12" ht="12.75">
      <c r="A59" s="37" t="s">
        <v>32</v>
      </c>
      <c r="B59" s="28">
        <f>+B57-B58</f>
        <v>-782588.18</v>
      </c>
      <c r="C59" s="28">
        <f>+C57-C58</f>
        <v>-918490</v>
      </c>
      <c r="D59" s="28"/>
      <c r="E59" s="28">
        <f>+E57-E58</f>
        <v>-870000</v>
      </c>
      <c r="J59" s="4"/>
      <c r="K59" s="4"/>
      <c r="L59" s="4"/>
    </row>
    <row r="60" spans="1:12" ht="12.75">
      <c r="A60" s="36" t="s">
        <v>50</v>
      </c>
      <c r="C60" s="28"/>
      <c r="D60" s="28"/>
      <c r="E60" s="28"/>
      <c r="J60" s="4"/>
      <c r="K60" s="4"/>
      <c r="L60" s="4"/>
    </row>
    <row r="61" spans="1:12" ht="12.75">
      <c r="A61" s="37" t="s">
        <v>24</v>
      </c>
      <c r="B61" s="4">
        <f>1785156.43-1280</f>
        <v>1783876.43</v>
      </c>
      <c r="C61" s="27">
        <v>2150522</v>
      </c>
      <c r="D61" s="27"/>
      <c r="E61" s="27">
        <v>3525501</v>
      </c>
      <c r="J61" s="4"/>
      <c r="K61" s="4"/>
      <c r="L61" s="4"/>
    </row>
    <row r="62" spans="1:12" ht="12.75">
      <c r="A62" s="37" t="s">
        <v>25</v>
      </c>
      <c r="B62" s="4">
        <f>11855694.03-1280</f>
        <v>11854414.03</v>
      </c>
      <c r="C62" s="27">
        <v>4433610</v>
      </c>
      <c r="D62" s="27"/>
      <c r="E62" s="27">
        <v>5358832</v>
      </c>
      <c r="J62" s="4"/>
      <c r="K62" s="4"/>
      <c r="L62" s="4"/>
    </row>
    <row r="63" spans="1:12" ht="12.75">
      <c r="A63" s="37" t="s">
        <v>32</v>
      </c>
      <c r="B63" s="28">
        <f>+B61-B62</f>
        <v>-10070537.6</v>
      </c>
      <c r="C63" s="28">
        <f>+C61-C62</f>
        <v>-2283088</v>
      </c>
      <c r="D63" s="28"/>
      <c r="E63" s="28">
        <f>+E61-E62</f>
        <v>-1833331</v>
      </c>
      <c r="J63" s="4"/>
      <c r="K63" s="4"/>
      <c r="L63" s="4"/>
    </row>
    <row r="64" spans="1:9" ht="12.75">
      <c r="A64" s="36"/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37"/>
      <c r="B65" s="12"/>
      <c r="C65" s="27"/>
      <c r="D65" s="27"/>
      <c r="E65" s="27"/>
      <c r="F65" s="28"/>
      <c r="G65" s="28"/>
      <c r="H65" s="28"/>
      <c r="I65" s="28"/>
    </row>
    <row r="66" spans="1:9" ht="12.75">
      <c r="A66" s="37"/>
      <c r="B66" s="12"/>
      <c r="C66" s="27"/>
      <c r="D66" s="27"/>
      <c r="E66" s="27"/>
      <c r="F66" s="28"/>
      <c r="G66" s="28"/>
      <c r="H66" s="28"/>
      <c r="I66" s="28"/>
    </row>
    <row r="67" spans="1:9" ht="12.75">
      <c r="A67" s="37"/>
      <c r="B67" s="28"/>
      <c r="C67" s="28"/>
      <c r="D67" s="28"/>
      <c r="E67" s="28"/>
      <c r="F67" s="28"/>
      <c r="G67" s="28"/>
      <c r="H67" s="28"/>
      <c r="I67" s="28"/>
    </row>
    <row r="68" spans="6:9" ht="12.75">
      <c r="F68" s="28"/>
      <c r="G68" s="28"/>
      <c r="H68" s="28"/>
      <c r="I68" s="28"/>
    </row>
    <row r="69" spans="6:9" ht="12.75">
      <c r="F69" s="28"/>
      <c r="G69" s="28"/>
      <c r="H69" s="28"/>
      <c r="I69" s="28"/>
    </row>
    <row r="70" spans="6:9" ht="12.75">
      <c r="F70" s="28"/>
      <c r="G70" s="28"/>
      <c r="H70" s="28"/>
      <c r="I70" s="28"/>
    </row>
    <row r="71" spans="6:9" ht="12.75">
      <c r="F71" s="28"/>
      <c r="G71" s="28"/>
      <c r="H71" s="28"/>
      <c r="I71" s="28"/>
    </row>
    <row r="72" spans="6:9" ht="12.75">
      <c r="F72" s="28"/>
      <c r="G72" s="28"/>
      <c r="H72" s="28"/>
      <c r="I72" s="28"/>
    </row>
    <row r="73" spans="6:9" ht="12.75">
      <c r="F73" s="28"/>
      <c r="G73" s="28"/>
      <c r="H73" s="28"/>
      <c r="I73" s="28"/>
    </row>
    <row r="74" spans="6:9" ht="12.75">
      <c r="F74" s="28"/>
      <c r="G74" s="28"/>
      <c r="H74" s="28"/>
      <c r="I74" s="28"/>
    </row>
    <row r="75" spans="6:9" ht="12.75">
      <c r="F75" s="28"/>
      <c r="G75" s="28"/>
      <c r="H75" s="28"/>
      <c r="I75" s="28"/>
    </row>
    <row r="76" spans="6:9" ht="12.75">
      <c r="F76" s="28"/>
      <c r="G76" s="28"/>
      <c r="H76" s="28"/>
      <c r="I76" s="28"/>
    </row>
    <row r="77" spans="6:9" ht="12.75">
      <c r="F77" s="28"/>
      <c r="G77" s="28"/>
      <c r="H77" s="28"/>
      <c r="I77" s="28"/>
    </row>
    <row r="78" spans="6:9" ht="12.75">
      <c r="F78" s="28"/>
      <c r="G78" s="28"/>
      <c r="H78" s="28"/>
      <c r="I78" s="28"/>
    </row>
    <row r="79" spans="6:9" ht="12.75">
      <c r="F79" s="28"/>
      <c r="G79" s="28"/>
      <c r="H79" s="28"/>
      <c r="I79" s="28"/>
    </row>
  </sheetData>
  <sheetProtection/>
  <printOptions/>
  <pageMargins left="0.5905511811023623" right="0" top="1.1811023622047245" bottom="0.7874015748031497" header="0.3937007874015748" footer="0.5118110236220472"/>
  <pageSetup firstPageNumber="2" useFirstPageNumber="1" fitToHeight="2" horizontalDpi="600" verticalDpi="600" orientation="portrait" paperSize="9" scale="96" r:id="rId3"/>
  <headerFooter alignWithMargins="0">
    <oddHeader>&amp;R&amp;"Arial,Lihavoitu"Liikuntalautakunta</oddHeader>
  </headerFooter>
  <rowBreaks count="1" manualBreakCount="1">
    <brk id="4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40" customWidth="1"/>
    <col min="2" max="3" width="8.7109375" style="40" customWidth="1"/>
    <col min="4" max="5" width="9.7109375" style="40" bestFit="1" customWidth="1"/>
    <col min="6" max="8" width="8.7109375" style="40" customWidth="1"/>
    <col min="9" max="16384" width="9.140625" style="40" customWidth="1"/>
  </cols>
  <sheetData>
    <row r="1" spans="2:8" s="42" customFormat="1" ht="51">
      <c r="B1" s="7" t="str">
        <f>"TP "&amp;ots!$A$1-2&amp;"
(€)"</f>
        <v>TP 2010
(€)</v>
      </c>
      <c r="C1" s="7" t="str">
        <f>"TA "&amp;ots!$A$1-1&amp;"
(€)"</f>
        <v>TA 2011
(€)</v>
      </c>
      <c r="D1" s="7" t="s">
        <v>51</v>
      </c>
      <c r="E1" s="7" t="s">
        <v>69</v>
      </c>
      <c r="F1" s="7" t="str">
        <f>"TS "&amp;ots!$A$1+1&amp;"
(1.000 €)"</f>
        <v>TS 2013
(1.000 €)</v>
      </c>
      <c r="G1" s="7" t="str">
        <f>"TS "&amp;ots!$A$1+2&amp;"
(1.000 €)"</f>
        <v>TS 2014
(1.000 €)</v>
      </c>
      <c r="H1" s="7" t="str">
        <f>"TS "&amp;ots!$A$1+3&amp;"
(1.000 €)"</f>
        <v>TS 2015
(1.000 €)</v>
      </c>
    </row>
    <row r="2" s="43" customFormat="1" ht="12.75">
      <c r="A2" s="49" t="s">
        <v>45</v>
      </c>
    </row>
    <row r="3" s="43" customFormat="1" ht="12.75">
      <c r="A3" s="49" t="s">
        <v>53</v>
      </c>
    </row>
    <row r="4" spans="1:8" s="45" customFormat="1" ht="27" customHeight="1">
      <c r="A4" s="44" t="s">
        <v>40</v>
      </c>
      <c r="B4" s="42">
        <f aca="true" t="shared" si="0" ref="B4:G4">+B8</f>
        <v>436500</v>
      </c>
      <c r="C4" s="42">
        <f t="shared" si="0"/>
        <v>990000</v>
      </c>
      <c r="D4" s="42">
        <f t="shared" si="0"/>
        <v>400000</v>
      </c>
      <c r="E4" s="42">
        <f t="shared" si="0"/>
        <v>400000</v>
      </c>
      <c r="F4" s="42">
        <f t="shared" si="0"/>
        <v>200</v>
      </c>
      <c r="G4" s="42">
        <f t="shared" si="0"/>
        <v>0</v>
      </c>
      <c r="H4" s="42">
        <f>+H8</f>
        <v>0</v>
      </c>
    </row>
    <row r="5" spans="1:8" s="45" customFormat="1" ht="12.75">
      <c r="A5" s="44" t="s">
        <v>41</v>
      </c>
      <c r="B5" s="42">
        <f aca="true" t="shared" si="1" ref="B5:G5">+B20+B21</f>
        <v>76851</v>
      </c>
      <c r="C5" s="42">
        <f t="shared" si="1"/>
        <v>86000</v>
      </c>
      <c r="D5" s="42">
        <f t="shared" si="1"/>
        <v>35000</v>
      </c>
      <c r="E5" s="42">
        <f t="shared" si="1"/>
        <v>35000</v>
      </c>
      <c r="F5" s="42">
        <f t="shared" si="1"/>
        <v>50</v>
      </c>
      <c r="G5" s="42">
        <f t="shared" si="1"/>
        <v>0</v>
      </c>
      <c r="H5" s="42">
        <f>+H20+H21</f>
        <v>0</v>
      </c>
    </row>
    <row r="6" spans="1:8" s="45" customFormat="1" ht="12.75">
      <c r="A6" s="44" t="s">
        <v>42</v>
      </c>
      <c r="B6" s="42">
        <f aca="true" t="shared" si="2" ref="B6:H6">B5-B4</f>
        <v>-359649</v>
      </c>
      <c r="C6" s="42">
        <f t="shared" si="2"/>
        <v>-904000</v>
      </c>
      <c r="D6" s="42">
        <f t="shared" si="2"/>
        <v>-365000</v>
      </c>
      <c r="E6" s="42">
        <f t="shared" si="2"/>
        <v>-365000</v>
      </c>
      <c r="F6" s="42">
        <f t="shared" si="2"/>
        <v>-150</v>
      </c>
      <c r="G6" s="42">
        <f t="shared" si="2"/>
        <v>0</v>
      </c>
      <c r="H6" s="42">
        <f t="shared" si="2"/>
        <v>0</v>
      </c>
    </row>
    <row r="7" spans="1:8" s="39" customFormat="1" ht="21" customHeight="1">
      <c r="A7" s="46" t="s">
        <v>34</v>
      </c>
      <c r="B7" s="41"/>
      <c r="C7" s="41"/>
      <c r="D7" s="41"/>
      <c r="E7" s="41"/>
      <c r="F7" s="41"/>
      <c r="G7" s="41"/>
      <c r="H7" s="41"/>
    </row>
    <row r="8" spans="1:8" s="39" customFormat="1" ht="12.75">
      <c r="A8" s="46" t="s">
        <v>54</v>
      </c>
      <c r="B8" s="41">
        <f aca="true" t="shared" si="3" ref="B8:G8">SUM(B9:B18)</f>
        <v>436500</v>
      </c>
      <c r="C8" s="41">
        <f t="shared" si="3"/>
        <v>990000</v>
      </c>
      <c r="D8" s="41">
        <f t="shared" si="3"/>
        <v>400000</v>
      </c>
      <c r="E8" s="41">
        <f t="shared" si="3"/>
        <v>400000</v>
      </c>
      <c r="F8" s="41">
        <f t="shared" si="3"/>
        <v>200</v>
      </c>
      <c r="G8" s="41">
        <f t="shared" si="3"/>
        <v>0</v>
      </c>
      <c r="H8" s="41">
        <f>SUM(H9:H18)</f>
        <v>0</v>
      </c>
    </row>
    <row r="9" s="39" customFormat="1" ht="12.75">
      <c r="A9" s="46" t="s">
        <v>55</v>
      </c>
    </row>
    <row r="10" s="39" customFormat="1" ht="12.75">
      <c r="A10" s="46" t="s">
        <v>56</v>
      </c>
    </row>
    <row r="11" s="39" customFormat="1" ht="12.75">
      <c r="A11" s="46" t="s">
        <v>57</v>
      </c>
    </row>
    <row r="12" spans="1:6" s="39" customFormat="1" ht="12.75">
      <c r="A12" s="46" t="s">
        <v>58</v>
      </c>
      <c r="B12" s="39">
        <v>250000</v>
      </c>
      <c r="C12" s="39">
        <f>900000-100000</f>
        <v>800000</v>
      </c>
      <c r="D12" s="39">
        <v>400000</v>
      </c>
      <c r="E12" s="39">
        <v>400000</v>
      </c>
      <c r="F12" s="39">
        <v>200</v>
      </c>
    </row>
    <row r="13" spans="1:3" s="39" customFormat="1" ht="12.75">
      <c r="A13" s="46" t="s">
        <v>59</v>
      </c>
      <c r="B13" s="39">
        <v>186500</v>
      </c>
      <c r="C13" s="39">
        <v>190000</v>
      </c>
    </row>
    <row r="14" s="39" customFormat="1" ht="12.75">
      <c r="A14" s="46" t="s">
        <v>60</v>
      </c>
    </row>
    <row r="15" s="39" customFormat="1" ht="12.75">
      <c r="A15" s="46" t="s">
        <v>61</v>
      </c>
    </row>
    <row r="16" s="39" customFormat="1" ht="12.75">
      <c r="A16" s="46" t="s">
        <v>62</v>
      </c>
    </row>
    <row r="17" s="39" customFormat="1" ht="12.75">
      <c r="A17" s="46" t="s">
        <v>63</v>
      </c>
    </row>
    <row r="18" s="39" customFormat="1" ht="12.75">
      <c r="A18" s="46" t="s">
        <v>64</v>
      </c>
    </row>
    <row r="19" spans="1:8" s="39" customFormat="1" ht="25.5" customHeight="1">
      <c r="A19" s="46" t="s">
        <v>35</v>
      </c>
      <c r="B19" s="41"/>
      <c r="C19" s="41"/>
      <c r="D19" s="41"/>
      <c r="E19" s="41"/>
      <c r="F19" s="41"/>
      <c r="G19" s="41"/>
      <c r="H19" s="41"/>
    </row>
    <row r="20" spans="1:6" s="39" customFormat="1" ht="25.5">
      <c r="A20" s="47" t="s">
        <v>65</v>
      </c>
      <c r="B20" s="39">
        <v>50000</v>
      </c>
      <c r="C20" s="39">
        <v>86000</v>
      </c>
      <c r="D20" s="39">
        <v>35000</v>
      </c>
      <c r="E20" s="39">
        <v>35000</v>
      </c>
      <c r="F20" s="39">
        <v>50</v>
      </c>
    </row>
    <row r="21" spans="1:8" s="39" customFormat="1" ht="25.5">
      <c r="A21" s="47" t="s">
        <v>66</v>
      </c>
      <c r="B21" s="39">
        <v>26851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</row>
    <row r="22" spans="1:8" s="39" customFormat="1" ht="38.25">
      <c r="A22" s="47" t="s">
        <v>43</v>
      </c>
      <c r="B22" s="39">
        <f>26851-10208.35</f>
        <v>16642.65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</row>
    <row r="23" spans="2:7" ht="12.75">
      <c r="B23" s="41"/>
      <c r="C23" s="41"/>
      <c r="D23" s="41"/>
      <c r="E23" s="41"/>
      <c r="F23" s="41"/>
      <c r="G23" s="41"/>
    </row>
    <row r="24" spans="2:7" ht="12.75">
      <c r="B24" s="41"/>
      <c r="C24" s="41"/>
      <c r="D24" s="41"/>
      <c r="E24" s="41"/>
      <c r="F24" s="41"/>
      <c r="G24" s="41"/>
    </row>
    <row r="25" spans="2:7" ht="12.75">
      <c r="B25" s="41"/>
      <c r="C25" s="41"/>
      <c r="D25" s="41"/>
      <c r="E25" s="41"/>
      <c r="F25" s="41"/>
      <c r="G25" s="41"/>
    </row>
    <row r="26" spans="2:7" ht="12.75">
      <c r="B26" s="41"/>
      <c r="C26" s="41"/>
      <c r="D26" s="41"/>
      <c r="E26" s="41"/>
      <c r="F26" s="41"/>
      <c r="G26" s="41"/>
    </row>
    <row r="27" spans="2:7" ht="12.75">
      <c r="B27" s="41"/>
      <c r="C27" s="41"/>
      <c r="D27" s="41"/>
      <c r="E27" s="41"/>
      <c r="F27" s="41"/>
      <c r="G27" s="41"/>
    </row>
    <row r="28" spans="2:7" ht="12.75">
      <c r="B28" s="41"/>
      <c r="C28" s="41"/>
      <c r="D28" s="41"/>
      <c r="E28" s="41"/>
      <c r="F28" s="41"/>
      <c r="G28" s="41"/>
    </row>
    <row r="29" spans="2:7" ht="12.75">
      <c r="B29" s="41"/>
      <c r="C29" s="41"/>
      <c r="D29" s="41"/>
      <c r="E29" s="41"/>
      <c r="F29" s="41"/>
      <c r="G29" s="41"/>
    </row>
    <row r="30" spans="2:7" ht="12.75">
      <c r="B30" s="41"/>
      <c r="C30" s="41"/>
      <c r="D30" s="41"/>
      <c r="E30" s="41"/>
      <c r="F30" s="41"/>
      <c r="G30" s="41"/>
    </row>
    <row r="31" spans="2:7" ht="12.75">
      <c r="B31" s="41"/>
      <c r="C31" s="41"/>
      <c r="D31" s="41"/>
      <c r="E31" s="41"/>
      <c r="F31" s="41"/>
      <c r="G31" s="41"/>
    </row>
    <row r="32" spans="2:7" ht="12.75">
      <c r="B32" s="41"/>
      <c r="C32" s="41"/>
      <c r="D32" s="41"/>
      <c r="E32" s="41"/>
      <c r="F32" s="41"/>
      <c r="G32" s="41"/>
    </row>
    <row r="33" spans="2:7" ht="12.75">
      <c r="B33" s="41"/>
      <c r="C33" s="41"/>
      <c r="D33" s="41"/>
      <c r="E33" s="41"/>
      <c r="F33" s="41"/>
      <c r="G33" s="41"/>
    </row>
    <row r="34" spans="2:7" ht="12.75">
      <c r="B34" s="41"/>
      <c r="C34" s="41"/>
      <c r="D34" s="41"/>
      <c r="E34" s="41"/>
      <c r="F34" s="41"/>
      <c r="G34" s="41"/>
    </row>
    <row r="35" spans="2:7" ht="12.75">
      <c r="B35" s="41"/>
      <c r="C35" s="41"/>
      <c r="D35" s="41"/>
      <c r="E35" s="41"/>
      <c r="F35" s="41"/>
      <c r="G35" s="41"/>
    </row>
    <row r="36" spans="2:7" ht="12.75">
      <c r="B36" s="41"/>
      <c r="C36" s="41"/>
      <c r="D36" s="41"/>
      <c r="E36" s="41"/>
      <c r="F36" s="41"/>
      <c r="G36" s="41"/>
    </row>
    <row r="37" spans="2:7" ht="12.75">
      <c r="B37" s="41"/>
      <c r="C37" s="41"/>
      <c r="D37" s="41"/>
      <c r="E37" s="41"/>
      <c r="F37" s="41"/>
      <c r="G37" s="41"/>
    </row>
    <row r="38" spans="2:7" ht="12.75">
      <c r="B38" s="41"/>
      <c r="C38" s="41"/>
      <c r="D38" s="41"/>
      <c r="E38" s="41"/>
      <c r="F38" s="41"/>
      <c r="G38" s="41"/>
    </row>
    <row r="39" spans="2:7" ht="12.75">
      <c r="B39" s="41"/>
      <c r="C39" s="41"/>
      <c r="D39" s="41"/>
      <c r="E39" s="41"/>
      <c r="F39" s="41"/>
      <c r="G39" s="41"/>
    </row>
    <row r="40" spans="2:7" ht="12.75">
      <c r="B40" s="41"/>
      <c r="C40" s="41"/>
      <c r="D40" s="41"/>
      <c r="E40" s="41"/>
      <c r="F40" s="41"/>
      <c r="G40" s="41"/>
    </row>
    <row r="41" spans="2:7" ht="12.75">
      <c r="B41" s="41"/>
      <c r="C41" s="41"/>
      <c r="D41" s="41"/>
      <c r="E41" s="41"/>
      <c r="F41" s="41"/>
      <c r="G41" s="41"/>
    </row>
    <row r="42" spans="2:7" ht="12.75">
      <c r="B42" s="41"/>
      <c r="C42" s="41"/>
      <c r="D42" s="41"/>
      <c r="E42" s="41"/>
      <c r="F42" s="41"/>
      <c r="G42" s="41"/>
    </row>
    <row r="43" spans="2:7" ht="12.75">
      <c r="B43" s="41"/>
      <c r="C43" s="41"/>
      <c r="D43" s="41"/>
      <c r="E43" s="41"/>
      <c r="F43" s="41"/>
      <c r="G43" s="41"/>
    </row>
    <row r="44" spans="2:7" ht="12.75">
      <c r="B44" s="41"/>
      <c r="C44" s="41"/>
      <c r="D44" s="41"/>
      <c r="E44" s="41"/>
      <c r="F44" s="41"/>
      <c r="G44" s="41"/>
    </row>
    <row r="45" spans="2:7" ht="12.75">
      <c r="B45" s="41"/>
      <c r="C45" s="41"/>
      <c r="D45" s="41"/>
      <c r="E45" s="41"/>
      <c r="F45" s="41"/>
      <c r="G45" s="41"/>
    </row>
    <row r="46" spans="2:7" ht="12.75">
      <c r="B46" s="41"/>
      <c r="C46" s="41"/>
      <c r="D46" s="41"/>
      <c r="E46" s="41"/>
      <c r="F46" s="41"/>
      <c r="G46" s="41"/>
    </row>
    <row r="47" spans="2:7" ht="12.75">
      <c r="B47" s="41"/>
      <c r="C47" s="41"/>
      <c r="D47" s="41"/>
      <c r="E47" s="41"/>
      <c r="F47" s="41"/>
      <c r="G47" s="41"/>
    </row>
    <row r="48" spans="2:7" ht="12.75">
      <c r="B48" s="41"/>
      <c r="C48" s="41"/>
      <c r="D48" s="41"/>
      <c r="E48" s="41"/>
      <c r="F48" s="41"/>
      <c r="G48" s="41"/>
    </row>
  </sheetData>
  <sheetProtection/>
  <printOptions gridLines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2012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Talousarvioehdotus 2002 - lyhyt pohja</dc:title>
  <dc:subject>TA-kirjaan siirtyvä osa</dc:subject>
  <dc:creator>Suuno</dc:creator>
  <cp:keywords/>
  <dc:description/>
  <cp:lastModifiedBy>Siekkinen Jaana</cp:lastModifiedBy>
  <cp:lastPrinted>2011-11-01T13:07:09Z</cp:lastPrinted>
  <dcterms:created xsi:type="dcterms:W3CDTF">1999-04-09T08:04:14Z</dcterms:created>
  <dcterms:modified xsi:type="dcterms:W3CDTF">2011-12-09T09:34:01Z</dcterms:modified>
  <cp:category/>
  <cp:version/>
  <cp:contentType/>
  <cp:contentStatus/>
</cp:coreProperties>
</file>