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heckCompatibility="1" defaultThemeVersion="124226"/>
  <mc:AlternateContent xmlns:mc="http://schemas.openxmlformats.org/markup-compatibility/2006">
    <mc:Choice Requires="x15">
      <x15ac:absPath xmlns:x15ac="http://schemas.microsoft.com/office/spreadsheetml/2010/11/ac" url="C:\Users\he4886et\Documents\Omat työt\Omat työt 2\Työpöytä\"/>
    </mc:Choice>
  </mc:AlternateContent>
  <xr:revisionPtr revIDLastSave="0" documentId="8_{D4E4D48D-5EBD-45C8-A7DB-300245BD3C86}" xr6:coauthVersionLast="47" xr6:coauthVersionMax="47" xr10:uidLastSave="{00000000-0000-0000-0000-000000000000}"/>
  <bookViews>
    <workbookView xWindow="-120" yWindow="-120" windowWidth="29040" windowHeight="15840" xr2:uid="{00000000-000D-0000-FFFF-FFFF00000000}"/>
  </bookViews>
  <sheets>
    <sheet name="Taloudellinen väliselvitys" sheetId="5" r:id="rId1"/>
  </sheets>
  <definedNames>
    <definedName name="_xlnm.Print_Area" localSheetId="0">'Taloudellinen väliselvitys'!$A$1:$G$148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3" i="5" l="1"/>
  <c r="F113" i="5" s="1"/>
  <c r="E115" i="5"/>
  <c r="F115" i="5" s="1"/>
  <c r="E93" i="5"/>
  <c r="F93" i="5" s="1"/>
  <c r="E110" i="5"/>
  <c r="F110" i="5" s="1"/>
  <c r="E111" i="5"/>
  <c r="F111" i="5" s="1"/>
  <c r="E112" i="5"/>
  <c r="F112" i="5" s="1"/>
  <c r="F114" i="5"/>
  <c r="E68" i="5"/>
  <c r="F68" i="5" s="1"/>
  <c r="E84" i="5"/>
  <c r="F84" i="5" s="1"/>
  <c r="E85" i="5"/>
  <c r="F85" i="5" s="1"/>
  <c r="E83" i="5"/>
  <c r="F83" i="5" s="1"/>
  <c r="F131" i="5"/>
  <c r="F138" i="5" s="1"/>
  <c r="E105" i="5"/>
  <c r="F105" i="5" s="1"/>
  <c r="E104" i="5"/>
  <c r="F104" i="5" s="1"/>
  <c r="F100" i="5"/>
  <c r="E99" i="5"/>
  <c r="F99" i="5" s="1"/>
  <c r="F98" i="5"/>
  <c r="E97" i="5"/>
  <c r="F97" i="5" s="1"/>
  <c r="F92" i="5"/>
  <c r="F91" i="5"/>
  <c r="E90" i="5"/>
  <c r="F90" i="5" s="1"/>
  <c r="F86" i="5"/>
  <c r="F82" i="5"/>
  <c r="F81" i="5"/>
  <c r="E77" i="5"/>
  <c r="F77" i="5" s="1"/>
  <c r="E76" i="5"/>
  <c r="F76" i="5" s="1"/>
  <c r="E75" i="5"/>
  <c r="F75" i="5" s="1"/>
  <c r="E74" i="5"/>
  <c r="F74" i="5" s="1"/>
  <c r="E67" i="5"/>
  <c r="F67" i="5" s="1"/>
  <c r="E66" i="5"/>
  <c r="F66" i="5" s="1"/>
  <c r="F61" i="5"/>
  <c r="F60" i="5"/>
  <c r="F59" i="5"/>
  <c r="F58" i="5"/>
  <c r="F57" i="5"/>
  <c r="F48" i="5"/>
  <c r="F145" i="5" s="1"/>
  <c r="E21" i="5"/>
  <c r="F23" i="5" s="1"/>
  <c r="F136" i="5" s="1"/>
  <c r="F94" i="5" l="1"/>
  <c r="F118" i="5"/>
  <c r="F106" i="5"/>
  <c r="F63" i="5"/>
  <c r="F101" i="5"/>
  <c r="F71" i="5"/>
  <c r="F87" i="5"/>
  <c r="F78" i="5"/>
  <c r="F123" i="5" l="1"/>
  <c r="F137" i="5" s="1"/>
  <c r="F139" i="5" s="1"/>
  <c r="F144" i="5" s="1"/>
  <c r="F146" i="5" s="1"/>
</calcChain>
</file>

<file path=xl/sharedStrings.xml><?xml version="1.0" encoding="utf-8"?>
<sst xmlns="http://schemas.openxmlformats.org/spreadsheetml/2006/main" count="210" uniqueCount="104">
  <si>
    <t>Selite</t>
  </si>
  <si>
    <t>Summa (€) (alv0%)</t>
  </si>
  <si>
    <t>Ajankohta</t>
  </si>
  <si>
    <t>Liite 1</t>
  </si>
  <si>
    <t>Konsultin esitys lisä- ja muutostöiksi yhteensä</t>
  </si>
  <si>
    <t>+</t>
  </si>
  <si>
    <t>Vähennykset yhteensä</t>
  </si>
  <si>
    <t>-</t>
  </si>
  <si>
    <t>Tilatut lisä- ja muutostyöt yhteensä</t>
  </si>
  <si>
    <t>Tilatut suunnittelutyöt yhteensä</t>
  </si>
  <si>
    <t>Laskun numero/päiväys/selite</t>
  </si>
  <si>
    <t>3. Konsultin esitys lisä- ja muutostöiksi</t>
  </si>
  <si>
    <t>Tilatut suunnittelutyöt (kohta 1.)</t>
  </si>
  <si>
    <t>Konsultin esitys lisä- ja muutostöiksi (kohta 3.)</t>
  </si>
  <si>
    <t>Vähennykset konsultin saatavasta (kohta 4.)</t>
  </si>
  <si>
    <t>Konsultin esitys suunnittelutyön kustannukseksi</t>
  </si>
  <si>
    <t>Kaikki esitetyt kustannukset alv 0%</t>
  </si>
  <si>
    <t>1. Tilatut suunnittelutyöt euroa</t>
  </si>
  <si>
    <t>4. Vähennykset konsultin saatavasta</t>
  </si>
  <si>
    <t>Toteutunut laskutus yhteensä</t>
  </si>
  <si>
    <t>Toteutunut laskutus (kohta 2)</t>
  </si>
  <si>
    <t>Konsultin esitys loppulaskuksi</t>
  </si>
  <si>
    <t>Suunnittelutyön kokonaiskustannus (kohta 5.)</t>
  </si>
  <si>
    <t>WSP Finland Oy</t>
  </si>
  <si>
    <t>pvm</t>
  </si>
  <si>
    <t>tekijä</t>
  </si>
  <si>
    <t>skol</t>
  </si>
  <si>
    <t>tuntihinta</t>
  </si>
  <si>
    <t>tunnit</t>
  </si>
  <si>
    <t>01</t>
  </si>
  <si>
    <t>03</t>
  </si>
  <si>
    <t>Marjaana Kangas</t>
  </si>
  <si>
    <t>04</t>
  </si>
  <si>
    <t>Minna Turja-Mäkinen</t>
  </si>
  <si>
    <t>6. Konsultin esitys suunnitteluvaiheen loppulaskuksi</t>
  </si>
  <si>
    <t>Aleksi Kankaanpää</t>
  </si>
  <si>
    <t>Jukka Takalo</t>
  </si>
  <si>
    <t>02</t>
  </si>
  <si>
    <t>Iiro Ristikankare</t>
  </si>
  <si>
    <t>Taloudellinen väliselvitys</t>
  </si>
  <si>
    <t>Ferry Terminal Turku -nimisen asemakaava-alueen katu- ja vesihuoltosuunnittelu sekä Historian ja Tulevaisuuden museo -nimisen asemakaava-alueen yleissuunnittelu</t>
  </si>
  <si>
    <t>17.7.2023 §191 Päätös, 21.8.2023 aloituslupa aloituskokouksessa / Päätyö</t>
  </si>
  <si>
    <t>tp 31.8.2023, kokouspöytäkirjat 28.9. ja 26.10.2023, sp 26.10.2023 / Lisätyö suunnittelutehtävän laajennos 1 Vallihaudankatu ja Linnankatu (väli Vallihaudankatu-Satamakatu) ja Satamaraitti</t>
  </si>
  <si>
    <t>2. Toteutunut laskutus 15.5.2024 mennessä euroa</t>
  </si>
  <si>
    <t>17184 / 5.12.2023</t>
  </si>
  <si>
    <t>Maksuerät 1. ja 2. vesihuolto</t>
  </si>
  <si>
    <t>171876 / 5.12.2023</t>
  </si>
  <si>
    <t>Maksuerät 1. ja 2. kadut</t>
  </si>
  <si>
    <t>173390 / 4.1.2024</t>
  </si>
  <si>
    <t>Maksuerä 3. kadut</t>
  </si>
  <si>
    <t>176485 / 28.3.2024</t>
  </si>
  <si>
    <t>Maksuerä 4. kadut</t>
  </si>
  <si>
    <t>177660 / 6.5.2024</t>
  </si>
  <si>
    <t>Maksuerät 3. ja 4. vesihuolto</t>
  </si>
  <si>
    <t>177658 / 6.5.2024</t>
  </si>
  <si>
    <t>Maksuerä 5. päätyö ja maksuerä 1. laajennus kadut</t>
  </si>
  <si>
    <t>Hanna Liisanantti</t>
  </si>
  <si>
    <t>Tuomas Jarhio</t>
  </si>
  <si>
    <t>Vuokko Yli-Jama</t>
  </si>
  <si>
    <t>3.1 HTM-alueen vesihuollon suunnittelu rantalaiturin/-muurin alueelle ja laivojen edellyttämät tilavaraukset laiturilla</t>
  </si>
  <si>
    <t>11.12.2023-30.1.2024</t>
  </si>
  <si>
    <t>Rakentamisen vaiheistuksen suunnittelu</t>
  </si>
  <si>
    <t>N.N</t>
  </si>
  <si>
    <t>3.2 Liikennesuunnitelman laatiminen taksiaseman kohdalta</t>
  </si>
  <si>
    <t>3.3 Liikennesuunnitelman laatiminen LE-pysäköinnille</t>
  </si>
  <si>
    <t>Olli Haveri</t>
  </si>
  <si>
    <t>3.5 Korttelien nostopaikkojen tarkistaminen katualueella</t>
  </si>
  <si>
    <t>3.6 Liikennesuunnitelman laatiminen bussiterminaalialueelle</t>
  </si>
  <si>
    <t>Liikennesuunnitelman tarkistaminen ja tarkentaminen FT2-alueella</t>
  </si>
  <si>
    <t>Liikenteenohjausportaalien suunnittelu</t>
  </si>
  <si>
    <t>Asemakaavan mukaisen huleveden viivytysalueen suunnittelu bussiterminaalin eteläpäässä ja Ensimmäisen poikkikadun länsipuolella</t>
  </si>
  <si>
    <t>Raidesuunnittelu Vientikadun tasoliittymän kohdalla</t>
  </si>
  <si>
    <t>Harri Hemming</t>
  </si>
  <si>
    <t>3.7 Kuljetuskadun poikkileikkauksen muutos jk+pp-tien rasitealueen kohdalla</t>
  </si>
  <si>
    <t>Kokouksessa (?) saatiin tieto jkpp-väylän siirtotarpeesta Kuljetuskadun pohjoispäässä asemakaavan mukaisen rasitteen alueelle. Kuljetuskadun poikkileikkaus korjattiin.</t>
  </si>
  <si>
    <t>Esa Karvonen</t>
  </si>
  <si>
    <t>23.-24.10.2023</t>
  </si>
  <si>
    <t>LE-pysäköinnin sijoittaminen bussiterminaalin alueelle aiheutti bussipysäkkijärjestelyiden uudelleen tarkastelun. Fölistä saatiin toive 9.11. bussien latauspisteiden sijoittamisesta alueelle. Tämän johdosta bussiterminaalialueen järjestelyt tarkistettiin ja suunniteltiin uudelleen. (pk 27.11.2023 työpalaveri)</t>
  </si>
  <si>
    <t>27.11.2023 ja 26.3.2024</t>
  </si>
  <si>
    <t>Tarjouspyynnön liitteenä olleessa liikenteen yleissuunnitelmassa ei oltu ratkaistu liikuntaesteisten pysäköintipaikan sijaintia terminaalirakennuksen läheisyydessä, joten paikat oli lisättävä liikennesuunnitelmaan. LE-paikkojen sijainteja tarkasteltiin Linnakadulla ja bussiterminaalialueella. (pk 20.11.2023 Suko2, 23.11.2023 suko 3, pk 27.11.2023 työpalaveri, s-postit Haveri-Jokela)</t>
  </si>
  <si>
    <t>2.-3.11., 8.11., 10.11., 15.-16.11., 8.12. ja 15.12.2023</t>
  </si>
  <si>
    <t>30.10., 1.11., 3.11., 7.-8.11. ja 16.11.2023</t>
  </si>
  <si>
    <t>9. ja 16.11.2023</t>
  </si>
  <si>
    <t>2.-3., 9. ja 16.11.2023</t>
  </si>
  <si>
    <t>30.10. ja 16.11.2023</t>
  </si>
  <si>
    <t>5. Konsultin esitys suunnittelutyön kokonaiskustannukseksi (pl. Kohdassa 1. listatut lisätyöt, joita ei vielä ole käsitelty)</t>
  </si>
  <si>
    <t>27.11.-1.12.2023</t>
  </si>
  <si>
    <t>Linnankadun muutokset välillä Satamakatu-Vallihaudankatu (Linnan sisäänkäynti, makasiinirakennusten tasausmuutokset)</t>
  </si>
  <si>
    <t>Suunnittelukokouksessa 2 26.10.2023 tuotiin esiin tarve alusten kiinnitysten huomioimisesta rantalaiturilla myös jatkossa. Asialla on vaikutusta kiinteiden kalusteiden, kasvillisuuden ja valaistuksen sijoittamiseen. Esille tuotiin myös vesihuollon tarpeellisuus laiturilla jatkossakin, sillä Vikingin poistuessa laiturilta, se otetaan muiden alusten käyttöön. Vesihuollon suunnittelusta pidettiin erillinen palaveri 7.12.2023, jossa saatiin tarkennuksia laiturin tulevaisuuden tarpeista ja sovittiin jatkotoimista. WSP lisäsi suunnitelmaan vesihuoltolinjat laiturialueelle sekä tarkisti kiinteiden rakenteiden ja kasvillisuuden sijainnit.</t>
  </si>
  <si>
    <t>Tarjouspyynnön liitteenä ollutta liikenteen yleissuunnitelmaa tarkistaessa huomattiin tarve korjata taksiaseman mitoitus. Kaava-alue todettiin ahtaaksi halutulle taksien lukumäärälle ja taksien jättöpaikka toimimattoman muotoiseksi. Liikennesuunnitelma oli korjattava yhteensovittaen Sataman ja taksiaseman reunalle rakennettavan katoksen kanssa. Liikenteelliset ratkaisut sovitettiin yhteen muun suunnittelun kanssa ja taksiaseman tasausta, kuivatusta ja tulvareittejä tarkasteltiin samassa yhteydessä. (pk 23.11.2023 suko 3, pk 27.11.2023 työpalaveri, s-postit Haveri-Jokela)</t>
  </si>
  <si>
    <t>3.8 Suunnitelmien muutokset eri aikaisten kommenttien tai eri tahoilta ilmenneiden uusien tarpeiden johdosta</t>
  </si>
  <si>
    <t>3.4 Liikennesuunnitelman laatiminen pyöräilyväylille FT1-alueella sekä liikennesuunnitelman mitoitusten tarkistaminen ja suunnittelu</t>
  </si>
  <si>
    <t>4.9.2023-26.1.2024</t>
  </si>
  <si>
    <t xml:space="preserve">Tarjouspyynnön liitteenä ollutta liikenteen yleissuunnitelmaa tarkistaessa huomattiin 4.9.2023 tarve tarkentaa ja korjata pyöräilyväylien sijainnit katualueella. Yleissuunnitelmassa oli osalle katuja (mm. Satamakatu) esitetty pyöräkaistat, joita ei kuitenkaan haluttu suunnittelussa viedä eteenpäin (pk 20.11.2023 Suko2), vaan ne muutettiin pyöräteiksi ja samalla korjattiin katujen poikkileikkaukset. Kaikille pyöräteille lisättiin lisäksi erotuskaista ajoradan puolelle, mikäli tila sen salli. Liikennesuunnitelman tarkistamisen yhteydessä havaittiin tarve katujen ja väylien poikkileikkausmittojen tarkentamiselle sekä ajokaistojen pituuksien tarkentamiselle kauttaaltaan FT1-alueella. Katusuunnitelmien laatiminen aloitettiin tiiviin aikataulun vuoksi tarjouspyyntöaineiston mukaisen liikennesuunnitelman pohjalta ja liikennesuunnitelman kohdittain etenevän korjaamisen johdosta laadittiin myös katusuunnitelmat ja tietomalli uudelleen useampaan kertaan. </t>
  </si>
  <si>
    <t>2.11.-15.12.2023</t>
  </si>
  <si>
    <t>Juuso Haapamäki</t>
  </si>
  <si>
    <t>Sähkömuuntamon säilyttämisen vuoksi laadittiin myös väliaikaisen tilanteen rakentamissuunnitelma pyörätielle Juhana Herttuan puistokadun ja Satamakadun liittymän länsipuolella. Muutos tehtiin esikopioiden luovuttamisen jälkeen.</t>
  </si>
  <si>
    <t>26.2.-10.5.2024</t>
  </si>
  <si>
    <t>Katujen tasaukset laadittiin lähtötietona olleen hulevesien ja tulvareittien yleissuunnitelmaa noudattaen sekä työn alussa yhdessä sovittujen periaatteiden mukaisesti (muistiot xx). Tasauksia tarkasteltiin useampaan otteeseen tämän jälkeen ja periaatteellisia muutospyyntöjä saatiin katusuunnitelmien laatimisen ja luovutuksen jälkeen rakennussuunnittelun edettyä pitkälle. Tämän vuoksi piti aina uudelleen päivittää asemapiirustukset, pituusleikkaukset, geosuunnitelmat, vesihuoltosuunnitelmat ja tietomallia sekä tarkistaa valaistus- ja maisemasuunnitelmat. Työn alussa sovittuja suunnitteluperiaatteita on käsitelty ja suunnitelmia tämän johdosta muutettu useimmissa suunnittelukokouksissa ja työpalavereissa aina uudelleen.</t>
  </si>
  <si>
    <t>10.-28.11.2023 ja 21.3-14.5 2024</t>
  </si>
  <si>
    <t>Kaavoittaja toi työpalaverissa 15.11.2023 esille tarpeen nostopaikkojen tarkistamisesta katualueilla.  Suunnittelukokouksessa 23.11.2023 (ennen 28.11.2023) saatiin tilaajalta periaatepäätös, että nostopaikkoja ei suunnitella tarkemmalle tasolle katualueilla, mutta huomioitava puiden sijoittamisessa. Tarkasteluita tehtiin liikennesuunnitelmaan sekä katuvihersuunnitelmaan. Lisäksi sovitettiin yhteen kunnallistekniikan kanssa. (Kts. myös suko 6, 21.3.2024, muistio.</t>
  </si>
  <si>
    <t>16. ja 28.11.2023</t>
  </si>
  <si>
    <t>15.-28.11.2023</t>
  </si>
  <si>
    <t>Turun Linnan sisäänkäynnin yhteensovitus katutilaan katualueen ulkopuolella - puistoalueella- ei ollut huomioitu tarjouspyynnössä tai tarjouksessa, mutta oli tarpeen tehdä.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</si>
</sst>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43" formatCode="_-* #,##0.00_-;\-* #,##0.00_-;_-* &quot;-&quot;??_-;_-@_-"/>
    <numFmt numFmtId="164" formatCode="#,##0.00_ ;[Red]\-#,##0.00\ "/>
  </numFmts>
  <fonts count="11" x14ac:knownFonts="1">
    <font>
      <sz val="10"/>
      <name val="Arial"/>
    </font>
    <font>
      <sz val="10"/>
      <name val="Arial"/>
      <family val="2"/>
    </font>
    <font>
      <b/>
      <sz val="10"/>
      <name val="Arial"/>
      <family val="2"/>
    </font>
    <font>
      <sz val="10"/>
      <name val="Arial"/>
      <family val="2"/>
    </font>
    <font>
      <sz val="8"/>
      <name val="Arial"/>
      <family val="2"/>
    </font>
    <font>
      <sz val="10"/>
      <color indexed="10"/>
      <name val="Arial"/>
      <family val="2"/>
    </font>
    <font>
      <sz val="16"/>
      <color indexed="10"/>
      <name val="Arial"/>
      <family val="2"/>
    </font>
    <font>
      <b/>
      <sz val="10"/>
      <color indexed="10"/>
      <name val="Arial"/>
      <family val="2"/>
    </font>
    <font>
      <b/>
      <sz val="11"/>
      <name val="Arial"/>
      <family val="2"/>
    </font>
    <font>
      <b/>
      <sz val="12"/>
      <name val="Arial"/>
      <family val="2"/>
    </font>
    <font>
      <i/>
      <sz val="10"/>
      <name val="Arial"/>
      <family val="2"/>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2" fillId="0" borderId="0" xfId="0" applyFont="1"/>
    <xf numFmtId="0" fontId="3" fillId="0" borderId="0" xfId="0" applyFont="1"/>
    <xf numFmtId="0" fontId="4" fillId="0" borderId="0" xfId="0" applyFont="1"/>
    <xf numFmtId="0" fontId="3" fillId="0" borderId="1" xfId="0" applyFont="1" applyBorder="1"/>
    <xf numFmtId="0" fontId="3" fillId="0" borderId="0" xfId="0" applyFont="1" applyAlignment="1">
      <alignment horizontal="center"/>
    </xf>
    <xf numFmtId="0" fontId="3" fillId="0" borderId="2" xfId="0" applyFont="1" applyBorder="1"/>
    <xf numFmtId="0" fontId="5" fillId="0" borderId="0" xfId="0" applyFont="1"/>
    <xf numFmtId="0" fontId="6" fillId="0" borderId="0" xfId="0" applyFont="1"/>
    <xf numFmtId="44" fontId="5" fillId="0" borderId="0" xfId="0" applyNumberFormat="1" applyFont="1"/>
    <xf numFmtId="0" fontId="7" fillId="0" borderId="0" xfId="0" applyFont="1" applyAlignment="1">
      <alignment horizontal="center" vertical="center" wrapText="1"/>
    </xf>
    <xf numFmtId="0" fontId="5" fillId="0" borderId="2" xfId="0" applyFont="1" applyBorder="1"/>
    <xf numFmtId="0" fontId="5" fillId="0" borderId="2" xfId="0" quotePrefix="1" applyFont="1" applyBorder="1" applyAlignment="1">
      <alignment horizontal="center"/>
    </xf>
    <xf numFmtId="8" fontId="5" fillId="0" borderId="2" xfId="0" applyNumberFormat="1" applyFont="1" applyBorder="1" applyAlignment="1">
      <alignment horizontal="center"/>
    </xf>
    <xf numFmtId="2" fontId="5" fillId="0" borderId="2" xfId="0" applyNumberFormat="1" applyFont="1" applyBorder="1" applyAlignment="1">
      <alignment horizontal="center"/>
    </xf>
    <xf numFmtId="8" fontId="7" fillId="0" borderId="2" xfId="0" applyNumberFormat="1" applyFont="1" applyBorder="1" applyAlignment="1">
      <alignment horizontal="center"/>
    </xf>
    <xf numFmtId="0" fontId="5" fillId="0" borderId="1" xfId="0" applyFont="1" applyBorder="1"/>
    <xf numFmtId="0" fontId="7" fillId="0" borderId="0" xfId="0" applyFont="1" applyAlignment="1">
      <alignment vertical="center" wrapText="1"/>
    </xf>
    <xf numFmtId="0" fontId="3" fillId="0" borderId="3" xfId="0" applyFont="1" applyBorder="1" applyAlignment="1">
      <alignment vertical="top"/>
    </xf>
    <xf numFmtId="0" fontId="3" fillId="0" borderId="3" xfId="0" quotePrefix="1" applyFont="1" applyBorder="1" applyAlignment="1">
      <alignment horizontal="center" vertical="top"/>
    </xf>
    <xf numFmtId="0" fontId="3" fillId="0" borderId="3" xfId="0" applyFont="1" applyBorder="1" applyAlignment="1">
      <alignment horizontal="center"/>
    </xf>
    <xf numFmtId="14" fontId="3" fillId="0" borderId="1" xfId="0" applyNumberFormat="1" applyFont="1" applyBorder="1" applyAlignment="1">
      <alignment horizontal="center"/>
    </xf>
    <xf numFmtId="0" fontId="3" fillId="0" borderId="1" xfId="0" quotePrefix="1" applyFont="1" applyBorder="1" applyAlignment="1">
      <alignment horizontal="center"/>
    </xf>
    <xf numFmtId="4" fontId="5" fillId="0" borderId="0" xfId="0" applyNumberFormat="1" applyFont="1"/>
    <xf numFmtId="4" fontId="3" fillId="0" borderId="0" xfId="0" applyNumberFormat="1" applyFont="1"/>
    <xf numFmtId="4" fontId="2" fillId="0" borderId="0" xfId="0" applyNumberFormat="1" applyFont="1"/>
    <xf numFmtId="4" fontId="2" fillId="0" borderId="0" xfId="1" applyNumberFormat="1" applyFont="1" applyBorder="1" applyAlignment="1">
      <alignment horizontal="right" vertical="top"/>
    </xf>
    <xf numFmtId="4" fontId="3" fillId="0" borderId="1" xfId="0" applyNumberFormat="1" applyFont="1" applyBorder="1"/>
    <xf numFmtId="14" fontId="2" fillId="0" borderId="0" xfId="0" applyNumberFormat="1" applyFont="1"/>
    <xf numFmtId="0" fontId="8" fillId="0" borderId="0" xfId="0" applyFont="1" applyAlignment="1">
      <alignment horizontal="left"/>
    </xf>
    <xf numFmtId="8" fontId="5" fillId="0" borderId="0" xfId="0" applyNumberFormat="1" applyFont="1"/>
    <xf numFmtId="0" fontId="3" fillId="0" borderId="0" xfId="0" applyFont="1" applyAlignment="1">
      <alignment horizontal="center" vertical="center" wrapText="1"/>
    </xf>
    <xf numFmtId="0" fontId="3" fillId="0" borderId="0" xfId="0" applyFont="1" applyAlignment="1">
      <alignment vertical="center" wrapText="1"/>
    </xf>
    <xf numFmtId="4" fontId="3" fillId="0" borderId="3" xfId="0" applyNumberFormat="1" applyFont="1" applyBorder="1" applyAlignment="1">
      <alignment horizontal="center" vertical="top"/>
    </xf>
    <xf numFmtId="4" fontId="3" fillId="0" borderId="1" xfId="0" applyNumberFormat="1" applyFont="1" applyBorder="1" applyAlignment="1">
      <alignment horizontal="center"/>
    </xf>
    <xf numFmtId="0" fontId="3" fillId="0" borderId="0" xfId="0" applyFont="1" applyAlignment="1">
      <alignment horizontal="right"/>
    </xf>
    <xf numFmtId="164" fontId="3" fillId="0" borderId="0" xfId="0" applyNumberFormat="1" applyFont="1"/>
    <xf numFmtId="14" fontId="3" fillId="0" borderId="0" xfId="0" applyNumberFormat="1" applyFont="1"/>
    <xf numFmtId="8" fontId="3" fillId="0" borderId="0" xfId="0" applyNumberFormat="1" applyFont="1"/>
    <xf numFmtId="14" fontId="3" fillId="0" borderId="0" xfId="0" applyNumberFormat="1" applyFont="1" applyAlignment="1">
      <alignment horizontal="center"/>
    </xf>
    <xf numFmtId="4" fontId="4" fillId="0" borderId="0" xfId="0" applyNumberFormat="1" applyFont="1"/>
    <xf numFmtId="2" fontId="3" fillId="0" borderId="0" xfId="0" applyNumberFormat="1" applyFont="1"/>
    <xf numFmtId="0" fontId="3" fillId="0" borderId="3" xfId="0" applyFont="1" applyBorder="1" applyAlignment="1">
      <alignment horizontal="center" vertical="top"/>
    </xf>
    <xf numFmtId="14" fontId="3" fillId="0" borderId="3" xfId="0" applyNumberFormat="1" applyFont="1" applyBorder="1" applyAlignment="1">
      <alignment horizontal="center" vertical="top"/>
    </xf>
    <xf numFmtId="0" fontId="9" fillId="0" borderId="0" xfId="0" applyFont="1"/>
    <xf numFmtId="14" fontId="10" fillId="0" borderId="2" xfId="0" applyNumberFormat="1" applyFont="1" applyBorder="1"/>
    <xf numFmtId="4" fontId="3" fillId="0" borderId="0" xfId="1" applyNumberFormat="1" applyFont="1" applyFill="1" applyBorder="1" applyAlignment="1">
      <alignment horizontal="right" vertical="top"/>
    </xf>
    <xf numFmtId="4" fontId="10" fillId="0" borderId="2" xfId="0" applyNumberFormat="1" applyFont="1" applyBorder="1"/>
    <xf numFmtId="4" fontId="3" fillId="0" borderId="2" xfId="0" applyNumberFormat="1" applyFont="1" applyBorder="1"/>
    <xf numFmtId="4" fontId="10" fillId="0" borderId="0" xfId="0" quotePrefix="1" applyNumberFormat="1" applyFont="1" applyAlignment="1">
      <alignment horizontal="right"/>
    </xf>
    <xf numFmtId="0" fontId="3" fillId="0" borderId="0" xfId="0" applyFont="1" applyAlignment="1">
      <alignment vertical="top"/>
    </xf>
    <xf numFmtId="0" fontId="3" fillId="0" borderId="0" xfId="0" quotePrefix="1" applyFont="1" applyAlignment="1">
      <alignment horizontal="center" vertical="top"/>
    </xf>
    <xf numFmtId="4" fontId="3" fillId="0" borderId="0" xfId="0" applyNumberFormat="1" applyFont="1" applyAlignment="1">
      <alignment horizontal="center" vertical="top"/>
    </xf>
    <xf numFmtId="0" fontId="3" fillId="0" borderId="1" xfId="0" applyFont="1" applyBorder="1" applyAlignment="1">
      <alignment vertical="top"/>
    </xf>
    <xf numFmtId="0" fontId="3" fillId="0" borderId="0" xfId="0" applyFont="1" applyAlignment="1">
      <alignment horizontal="center" vertical="top"/>
    </xf>
    <xf numFmtId="0" fontId="3" fillId="0" borderId="0" xfId="0" applyFont="1" applyAlignment="1">
      <alignment horizontal="center" vertical="top" wrapText="1"/>
    </xf>
    <xf numFmtId="4" fontId="3" fillId="0" borderId="0" xfId="0" applyNumberFormat="1" applyFont="1" applyAlignment="1">
      <alignment horizontal="center"/>
    </xf>
    <xf numFmtId="164" fontId="2" fillId="0" borderId="1" xfId="0" applyNumberFormat="1" applyFont="1" applyBorder="1"/>
    <xf numFmtId="14" fontId="3" fillId="0" borderId="1" xfId="0" applyNumberFormat="1" applyFont="1" applyBorder="1"/>
    <xf numFmtId="43" fontId="3" fillId="0" borderId="0" xfId="2" applyFont="1"/>
    <xf numFmtId="0" fontId="3" fillId="0" borderId="6" xfId="0" applyFont="1" applyBorder="1" applyAlignment="1">
      <alignment vertical="top" wrapText="1"/>
    </xf>
    <xf numFmtId="0" fontId="3" fillId="0" borderId="0" xfId="0" quotePrefix="1" applyFont="1"/>
    <xf numFmtId="14" fontId="1" fillId="0" borderId="0" xfId="0" applyNumberFormat="1" applyFont="1"/>
    <xf numFmtId="0" fontId="1" fillId="0" borderId="0" xfId="0" applyFont="1"/>
    <xf numFmtId="0" fontId="1" fillId="0" borderId="2" xfId="0" applyFont="1" applyBorder="1" applyAlignment="1">
      <alignment horizontal="left" vertical="center"/>
    </xf>
    <xf numFmtId="0" fontId="1" fillId="0" borderId="3" xfId="0" applyFont="1" applyBorder="1" applyAlignment="1">
      <alignment vertical="top"/>
    </xf>
    <xf numFmtId="0" fontId="1" fillId="0" borderId="3" xfId="0" quotePrefix="1" applyFont="1" applyBorder="1" applyAlignment="1">
      <alignment horizontal="center" vertical="top"/>
    </xf>
    <xf numFmtId="14" fontId="1" fillId="0" borderId="4" xfId="0" applyNumberFormat="1"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4" fontId="1" fillId="0" borderId="0" xfId="1" applyNumberFormat="1" applyFont="1" applyFill="1" applyBorder="1" applyAlignment="1">
      <alignment horizontal="right" vertical="top"/>
    </xf>
    <xf numFmtId="0" fontId="1" fillId="0" borderId="3" xfId="0" applyFont="1" applyBorder="1" applyAlignment="1">
      <alignment horizontal="center"/>
    </xf>
    <xf numFmtId="0" fontId="1" fillId="0" borderId="7" xfId="0" applyFont="1" applyBorder="1" applyAlignment="1">
      <alignment vertical="top"/>
    </xf>
    <xf numFmtId="0" fontId="1" fillId="0" borderId="3" xfId="0" applyFont="1" applyBorder="1" applyAlignment="1">
      <alignment horizontal="center" vertical="top"/>
    </xf>
    <xf numFmtId="14" fontId="1" fillId="0" borderId="3"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vertical="top"/>
    </xf>
    <xf numFmtId="16" fontId="1" fillId="0" borderId="2" xfId="0" applyNumberFormat="1" applyFont="1" applyBorder="1" applyAlignment="1">
      <alignment horizontal="left" vertical="center"/>
    </xf>
    <xf numFmtId="0" fontId="1" fillId="0" borderId="3" xfId="0" applyFont="1" applyBorder="1" applyAlignment="1">
      <alignment horizontal="center" wrapText="1"/>
    </xf>
    <xf numFmtId="4" fontId="3" fillId="0" borderId="6" xfId="0" applyNumberFormat="1" applyFont="1" applyBorder="1" applyAlignment="1">
      <alignment horizontal="center" vertical="top"/>
    </xf>
    <xf numFmtId="0" fontId="1" fillId="0" borderId="3" xfId="0" applyFont="1" applyBorder="1" applyAlignment="1">
      <alignment horizontal="center" vertical="top" wrapText="1"/>
    </xf>
    <xf numFmtId="14" fontId="1" fillId="0" borderId="3" xfId="0" applyNumberFormat="1" applyFont="1" applyBorder="1" applyAlignment="1">
      <alignment horizontal="center" vertical="top" wrapText="1"/>
    </xf>
    <xf numFmtId="14" fontId="1" fillId="0" borderId="3" xfId="0" applyNumberFormat="1" applyFont="1" applyBorder="1" applyAlignment="1">
      <alignment horizontal="center"/>
    </xf>
    <xf numFmtId="0" fontId="1" fillId="0" borderId="6" xfId="0" applyFont="1" applyBorder="1" applyAlignment="1">
      <alignment vertical="top"/>
    </xf>
    <xf numFmtId="0" fontId="1" fillId="0" borderId="6" xfId="0" applyFont="1" applyBorder="1" applyAlignment="1">
      <alignment horizontal="center" vertical="top"/>
    </xf>
    <xf numFmtId="0" fontId="1" fillId="0" borderId="6" xfId="0" quotePrefix="1" applyFont="1" applyBorder="1" applyAlignment="1">
      <alignment horizontal="center"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4" xfId="0" applyFont="1" applyBorder="1" applyAlignment="1">
      <alignment horizontal="center" vertical="top"/>
    </xf>
    <xf numFmtId="0" fontId="1" fillId="0" borderId="4" xfId="0" applyFont="1" applyBorder="1" applyAlignment="1">
      <alignment vertical="top"/>
    </xf>
    <xf numFmtId="0" fontId="1" fillId="0" borderId="4" xfId="0" quotePrefix="1" applyFont="1" applyBorder="1" applyAlignment="1">
      <alignment horizontal="center" vertical="top"/>
    </xf>
    <xf numFmtId="4" fontId="3" fillId="0" borderId="4" xfId="0" applyNumberFormat="1" applyFont="1" applyBorder="1" applyAlignment="1">
      <alignment horizontal="center" vertical="top"/>
    </xf>
    <xf numFmtId="0" fontId="1" fillId="0" borderId="5" xfId="0" applyFont="1" applyBorder="1" applyAlignment="1">
      <alignment horizontal="center" vertical="top"/>
    </xf>
    <xf numFmtId="0" fontId="1" fillId="0" borderId="5" xfId="0" applyFont="1" applyBorder="1" applyAlignment="1">
      <alignment vertical="top"/>
    </xf>
    <xf numFmtId="0" fontId="1" fillId="0" borderId="5" xfId="0" quotePrefix="1" applyFont="1" applyBorder="1" applyAlignment="1">
      <alignment horizontal="center" vertical="top"/>
    </xf>
    <xf numFmtId="4" fontId="3" fillId="0" borderId="5" xfId="0" applyNumberFormat="1" applyFont="1" applyBorder="1" applyAlignment="1">
      <alignment horizontal="center" vertical="top"/>
    </xf>
    <xf numFmtId="0" fontId="1" fillId="0" borderId="3" xfId="0" applyFont="1" applyBorder="1" applyAlignment="1">
      <alignment horizontal="left" vertical="top" wrapText="1"/>
    </xf>
    <xf numFmtId="0" fontId="3"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wrapText="1"/>
    </xf>
    <xf numFmtId="0" fontId="2" fillId="0" borderId="0" xfId="0" applyFont="1" applyAlignment="1">
      <alignment horizontal="left" wrapText="1"/>
    </xf>
    <xf numFmtId="0" fontId="3" fillId="0" borderId="0" xfId="0" applyFont="1" applyAlignment="1">
      <alignment horizontal="center"/>
    </xf>
    <xf numFmtId="14" fontId="1" fillId="0" borderId="0" xfId="0" applyNumberFormat="1" applyFont="1" applyAlignment="1">
      <alignment horizontal="left" wrapText="1"/>
    </xf>
    <xf numFmtId="14" fontId="3" fillId="0" borderId="0" xfId="0" applyNumberFormat="1" applyFont="1" applyAlignment="1">
      <alignment horizontal="left" wrapText="1"/>
    </xf>
  </cellXfs>
  <cellStyles count="3">
    <cellStyle name="Normaali" xfId="0" builtinId="0"/>
    <cellStyle name="Pilkku" xfId="2" builtinId="3"/>
    <cellStyle name="Valuut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AD5B-A9B7-4F7F-88D8-AE38A54844A9}">
  <dimension ref="A1:U151"/>
  <sheetViews>
    <sheetView tabSelected="1" zoomScaleNormal="100" zoomScaleSheetLayoutView="80" workbookViewId="0">
      <selection activeCell="A4" sqref="A4:C4"/>
    </sheetView>
  </sheetViews>
  <sheetFormatPr defaultColWidth="9.140625" defaultRowHeight="12.75" x14ac:dyDescent="0.2"/>
  <cols>
    <col min="1" max="1" width="20.7109375" style="2" customWidth="1"/>
    <col min="2" max="2" width="18.7109375" style="2" customWidth="1"/>
    <col min="3" max="3" width="9.7109375" style="2" customWidth="1"/>
    <col min="4" max="4" width="12.7109375" style="2" customWidth="1"/>
    <col min="5" max="5" width="18.85546875" style="2" customWidth="1"/>
    <col min="6" max="6" width="12.7109375" style="2" customWidth="1"/>
    <col min="7" max="7" width="50.7109375" style="2" bestFit="1" customWidth="1"/>
    <col min="8" max="8" width="9.140625" style="2"/>
    <col min="9" max="9" width="11.42578125" style="2" bestFit="1" customWidth="1"/>
    <col min="10" max="18" width="9.140625" style="2"/>
    <col min="19" max="19" width="9.28515625" style="2" bestFit="1" customWidth="1"/>
    <col min="20" max="20" width="10.42578125" style="2" customWidth="1"/>
    <col min="21" max="16384" width="9.140625" style="2"/>
  </cols>
  <sheetData>
    <row r="1" spans="1:19" ht="12.75" customHeight="1" x14ac:dyDescent="0.25">
      <c r="A1" s="44" t="s">
        <v>23</v>
      </c>
    </row>
    <row r="2" spans="1:19" ht="12.75" customHeight="1" x14ac:dyDescent="0.25">
      <c r="A2" s="1"/>
      <c r="E2" s="2" t="s">
        <v>3</v>
      </c>
      <c r="F2" s="29" t="s">
        <v>39</v>
      </c>
    </row>
    <row r="3" spans="1:19" ht="12.75" customHeight="1" x14ac:dyDescent="0.2">
      <c r="F3" s="5"/>
    </row>
    <row r="4" spans="1:19" ht="58.9" customHeight="1" x14ac:dyDescent="0.2">
      <c r="A4" s="104" t="s">
        <v>40</v>
      </c>
      <c r="B4" s="104"/>
      <c r="C4" s="104"/>
      <c r="D4" s="7"/>
      <c r="E4" s="7"/>
      <c r="F4" s="39">
        <v>45427</v>
      </c>
    </row>
    <row r="5" spans="1:19" ht="12.75" customHeight="1" x14ac:dyDescent="0.3">
      <c r="A5" s="8"/>
      <c r="B5" s="7"/>
      <c r="C5" s="7"/>
      <c r="D5" s="7"/>
      <c r="E5" s="7"/>
      <c r="F5" s="7"/>
    </row>
    <row r="6" spans="1:19" ht="12.75" customHeight="1" x14ac:dyDescent="0.3">
      <c r="A6" s="8"/>
      <c r="B6" s="7"/>
      <c r="C6" s="7"/>
      <c r="D6" s="7"/>
      <c r="E6" s="7"/>
      <c r="F6" s="7"/>
    </row>
    <row r="7" spans="1:19" ht="12.75" customHeight="1" x14ac:dyDescent="0.2">
      <c r="A7" s="2" t="s">
        <v>16</v>
      </c>
      <c r="B7" s="7"/>
      <c r="C7" s="7"/>
      <c r="D7" s="7"/>
      <c r="E7" s="7"/>
      <c r="F7" s="7"/>
    </row>
    <row r="8" spans="1:19" ht="12.75" customHeight="1" x14ac:dyDescent="0.2">
      <c r="A8" s="7"/>
      <c r="B8" s="7"/>
      <c r="C8" s="7"/>
      <c r="D8" s="7"/>
      <c r="E8" s="7"/>
      <c r="F8" s="23"/>
      <c r="O8" s="3"/>
      <c r="P8" s="3"/>
      <c r="S8" s="3"/>
    </row>
    <row r="9" spans="1:19" ht="12.75" customHeight="1" x14ac:dyDescent="0.2">
      <c r="A9" s="1" t="s">
        <v>17</v>
      </c>
      <c r="B9" s="7"/>
      <c r="C9" s="7"/>
      <c r="D9" s="7"/>
      <c r="E9" s="7"/>
      <c r="F9" s="23"/>
      <c r="O9" s="3"/>
      <c r="P9" s="3"/>
      <c r="S9" s="3"/>
    </row>
    <row r="10" spans="1:19" ht="12.75" customHeight="1" x14ac:dyDescent="0.2">
      <c r="A10" s="1"/>
      <c r="E10" s="105"/>
      <c r="F10" s="105"/>
      <c r="O10" s="3"/>
      <c r="P10" s="3"/>
      <c r="S10" s="3"/>
    </row>
    <row r="11" spans="1:19" ht="12.75" customHeight="1" x14ac:dyDescent="0.2">
      <c r="A11" s="62" t="s">
        <v>41</v>
      </c>
      <c r="F11" s="24">
        <v>643800</v>
      </c>
      <c r="O11" s="3"/>
      <c r="P11" s="3"/>
      <c r="S11" s="3"/>
    </row>
    <row r="12" spans="1:19" ht="40.15" customHeight="1" x14ac:dyDescent="0.2">
      <c r="A12" s="106" t="s">
        <v>42</v>
      </c>
      <c r="B12" s="107"/>
      <c r="C12" s="107"/>
      <c r="D12" s="107"/>
      <c r="E12" s="46">
        <v>174810</v>
      </c>
      <c r="G12" s="24"/>
      <c r="O12" s="3"/>
      <c r="P12" s="3"/>
      <c r="S12" s="3"/>
    </row>
    <row r="13" spans="1:19" x14ac:dyDescent="0.2">
      <c r="A13" s="106" t="s">
        <v>61</v>
      </c>
      <c r="B13" s="107"/>
      <c r="C13" s="107"/>
      <c r="D13" s="107"/>
      <c r="E13" s="70" t="s">
        <v>62</v>
      </c>
      <c r="O13" s="3"/>
      <c r="P13" s="3"/>
      <c r="S13" s="3"/>
    </row>
    <row r="14" spans="1:19" x14ac:dyDescent="0.2">
      <c r="A14" s="106" t="s">
        <v>68</v>
      </c>
      <c r="B14" s="107"/>
      <c r="C14" s="107"/>
      <c r="D14" s="107"/>
      <c r="E14" s="70" t="s">
        <v>62</v>
      </c>
      <c r="O14" s="3"/>
      <c r="P14" s="3"/>
      <c r="S14" s="3"/>
    </row>
    <row r="15" spans="1:19" x14ac:dyDescent="0.2">
      <c r="A15" s="106" t="s">
        <v>69</v>
      </c>
      <c r="B15" s="107"/>
      <c r="C15" s="107"/>
      <c r="D15" s="107"/>
      <c r="E15" s="70" t="s">
        <v>62</v>
      </c>
      <c r="O15" s="3"/>
      <c r="P15" s="3"/>
      <c r="S15" s="3"/>
    </row>
    <row r="16" spans="1:19" ht="27.6" customHeight="1" x14ac:dyDescent="0.2">
      <c r="A16" s="106" t="s">
        <v>70</v>
      </c>
      <c r="B16" s="107"/>
      <c r="C16" s="107"/>
      <c r="D16" s="107"/>
      <c r="E16" s="70" t="s">
        <v>62</v>
      </c>
      <c r="O16" s="3"/>
      <c r="P16" s="3"/>
      <c r="S16" s="3"/>
    </row>
    <row r="17" spans="1:19" x14ac:dyDescent="0.2">
      <c r="A17" s="106" t="s">
        <v>71</v>
      </c>
      <c r="B17" s="107"/>
      <c r="C17" s="107"/>
      <c r="D17" s="107"/>
      <c r="E17" s="70" t="s">
        <v>62</v>
      </c>
      <c r="O17" s="3"/>
      <c r="P17" s="3"/>
      <c r="S17" s="3"/>
    </row>
    <row r="18" spans="1:19" ht="25.5" customHeight="1" x14ac:dyDescent="0.2">
      <c r="A18" s="106" t="s">
        <v>87</v>
      </c>
      <c r="B18" s="107"/>
      <c r="C18" s="107"/>
      <c r="D18" s="107"/>
      <c r="E18" s="70" t="s">
        <v>62</v>
      </c>
      <c r="O18" s="3"/>
      <c r="P18" s="3"/>
      <c r="S18" s="3"/>
    </row>
    <row r="19" spans="1:19" x14ac:dyDescent="0.2">
      <c r="A19" s="107"/>
      <c r="B19" s="107"/>
      <c r="C19" s="107"/>
      <c r="D19" s="107"/>
      <c r="E19" s="46"/>
      <c r="O19" s="3"/>
      <c r="P19" s="3"/>
      <c r="S19" s="3"/>
    </row>
    <row r="20" spans="1:19" x14ac:dyDescent="0.2">
      <c r="A20" s="107"/>
      <c r="B20" s="107"/>
      <c r="C20" s="107"/>
      <c r="D20" s="107"/>
      <c r="E20" s="46"/>
      <c r="O20" s="3"/>
      <c r="P20" s="3"/>
      <c r="S20" s="3"/>
    </row>
    <row r="21" spans="1:19" ht="12.75" customHeight="1" x14ac:dyDescent="0.2">
      <c r="A21" s="45" t="s">
        <v>8</v>
      </c>
      <c r="B21" s="6"/>
      <c r="C21" s="6"/>
      <c r="D21" s="6"/>
      <c r="E21" s="47">
        <f>SUM(E12:E20)</f>
        <v>174810</v>
      </c>
      <c r="F21" s="48"/>
      <c r="O21" s="3"/>
      <c r="P21" s="3"/>
      <c r="S21" s="3"/>
    </row>
    <row r="22" spans="1:19" ht="27" hidden="1" customHeight="1" x14ac:dyDescent="0.2">
      <c r="A22" s="103"/>
      <c r="B22" s="103"/>
      <c r="C22" s="103"/>
      <c r="D22" s="103"/>
      <c r="E22" s="49" t="s">
        <v>5</v>
      </c>
      <c r="F22" s="24"/>
      <c r="O22" s="3"/>
      <c r="P22" s="3"/>
      <c r="S22" s="3"/>
    </row>
    <row r="23" spans="1:19" ht="12.75" customHeight="1" x14ac:dyDescent="0.2">
      <c r="A23" s="37" t="s">
        <v>9</v>
      </c>
      <c r="F23" s="24">
        <f>F11+E21+F22</f>
        <v>818610</v>
      </c>
      <c r="O23" s="3"/>
      <c r="P23" s="3"/>
      <c r="S23" s="3"/>
    </row>
    <row r="24" spans="1:19" ht="12.75" customHeight="1" x14ac:dyDescent="0.2">
      <c r="F24" s="24"/>
      <c r="O24" s="3"/>
      <c r="P24" s="3"/>
      <c r="S24" s="3"/>
    </row>
    <row r="25" spans="1:19" ht="12.75" customHeight="1" x14ac:dyDescent="0.2">
      <c r="F25" s="24"/>
      <c r="O25" s="3"/>
      <c r="P25" s="3"/>
      <c r="S25" s="3"/>
    </row>
    <row r="26" spans="1:19" ht="12.75" customHeight="1" x14ac:dyDescent="0.2">
      <c r="F26" s="24"/>
      <c r="O26" s="3"/>
      <c r="P26" s="3"/>
      <c r="S26" s="3"/>
    </row>
    <row r="27" spans="1:19" ht="12.75" customHeight="1" x14ac:dyDescent="0.2">
      <c r="A27" s="1" t="s">
        <v>43</v>
      </c>
      <c r="F27" s="24"/>
      <c r="O27" s="3"/>
      <c r="P27" s="3"/>
      <c r="S27" s="3"/>
    </row>
    <row r="28" spans="1:19" ht="12.75" customHeight="1" x14ac:dyDescent="0.2">
      <c r="A28" s="1"/>
      <c r="F28" s="25"/>
      <c r="O28" s="3"/>
      <c r="P28" s="3"/>
      <c r="S28" s="3"/>
    </row>
    <row r="29" spans="1:19" ht="12.75" customHeight="1" x14ac:dyDescent="0.2">
      <c r="A29" s="2" t="s">
        <v>10</v>
      </c>
      <c r="F29" s="24"/>
      <c r="O29" s="3"/>
      <c r="P29" s="3"/>
      <c r="S29" s="3"/>
    </row>
    <row r="30" spans="1:19" ht="12.75" customHeight="1" x14ac:dyDescent="0.2">
      <c r="A30" s="63" t="s">
        <v>44</v>
      </c>
      <c r="B30" s="63" t="s">
        <v>45</v>
      </c>
      <c r="F30" s="24">
        <v>6645</v>
      </c>
      <c r="O30" s="3"/>
      <c r="P30" s="3"/>
      <c r="S30" s="3"/>
    </row>
    <row r="31" spans="1:19" ht="12.75" customHeight="1" x14ac:dyDescent="0.2">
      <c r="A31" s="63" t="s">
        <v>46</v>
      </c>
      <c r="B31" s="63" t="s">
        <v>47</v>
      </c>
      <c r="F31" s="24">
        <v>59950</v>
      </c>
      <c r="O31" s="3"/>
      <c r="P31" s="3"/>
      <c r="S31" s="3"/>
    </row>
    <row r="32" spans="1:19" ht="12.75" customHeight="1" x14ac:dyDescent="0.2">
      <c r="A32" s="62" t="s">
        <v>48</v>
      </c>
      <c r="B32" s="63" t="s">
        <v>49</v>
      </c>
      <c r="F32" s="46">
        <v>29975</v>
      </c>
      <c r="O32" s="3"/>
      <c r="P32" s="3"/>
      <c r="S32" s="3"/>
    </row>
    <row r="33" spans="1:19" ht="12.75" customHeight="1" x14ac:dyDescent="0.2">
      <c r="A33" s="62" t="s">
        <v>50</v>
      </c>
      <c r="B33" s="63" t="s">
        <v>51</v>
      </c>
      <c r="F33" s="46">
        <v>59950</v>
      </c>
      <c r="O33" s="3"/>
      <c r="P33" s="3"/>
      <c r="S33" s="3"/>
    </row>
    <row r="34" spans="1:19" ht="12.75" customHeight="1" x14ac:dyDescent="0.2">
      <c r="A34" s="62" t="s">
        <v>52</v>
      </c>
      <c r="B34" s="63" t="s">
        <v>53</v>
      </c>
      <c r="F34" s="46">
        <v>13290</v>
      </c>
      <c r="G34" s="24"/>
      <c r="O34" s="3"/>
      <c r="P34" s="3"/>
      <c r="S34" s="3"/>
    </row>
    <row r="35" spans="1:19" ht="12.75" customHeight="1" x14ac:dyDescent="0.2">
      <c r="A35" s="62" t="s">
        <v>54</v>
      </c>
      <c r="B35" s="63" t="s">
        <v>55</v>
      </c>
      <c r="F35" s="24">
        <v>67480</v>
      </c>
      <c r="O35" s="3"/>
      <c r="P35" s="3"/>
      <c r="S35" s="3"/>
    </row>
    <row r="36" spans="1:19" ht="12.75" customHeight="1" x14ac:dyDescent="0.2">
      <c r="A36" s="37"/>
      <c r="F36" s="24"/>
      <c r="O36" s="3"/>
      <c r="P36" s="3"/>
      <c r="S36" s="3"/>
    </row>
    <row r="37" spans="1:19" ht="12.75" customHeight="1" x14ac:dyDescent="0.2">
      <c r="A37" s="37"/>
      <c r="F37" s="24"/>
      <c r="O37" s="3"/>
      <c r="P37" s="3"/>
      <c r="S37" s="3"/>
    </row>
    <row r="38" spans="1:19" ht="12.75" hidden="1" customHeight="1" x14ac:dyDescent="0.2">
      <c r="A38" s="37"/>
      <c r="F38" s="24"/>
      <c r="O38" s="3"/>
      <c r="P38" s="3"/>
      <c r="S38" s="3"/>
    </row>
    <row r="39" spans="1:19" ht="12.75" hidden="1" customHeight="1" x14ac:dyDescent="0.2">
      <c r="A39" s="37"/>
      <c r="F39" s="24"/>
      <c r="O39" s="3"/>
      <c r="P39" s="3"/>
      <c r="S39" s="3"/>
    </row>
    <row r="40" spans="1:19" ht="12.75" hidden="1" customHeight="1" x14ac:dyDescent="0.2">
      <c r="A40" s="37"/>
      <c r="F40" s="24"/>
      <c r="O40" s="3"/>
      <c r="P40" s="3"/>
      <c r="S40" s="3"/>
    </row>
    <row r="41" spans="1:19" ht="12.75" hidden="1" customHeight="1" x14ac:dyDescent="0.2">
      <c r="A41" s="37"/>
      <c r="F41" s="24"/>
      <c r="O41" s="3"/>
      <c r="P41" s="3"/>
      <c r="S41" s="3"/>
    </row>
    <row r="42" spans="1:19" ht="12.75" hidden="1" customHeight="1" x14ac:dyDescent="0.2">
      <c r="A42" s="37"/>
      <c r="F42" s="24"/>
      <c r="O42" s="3"/>
      <c r="P42" s="3"/>
      <c r="S42" s="3"/>
    </row>
    <row r="43" spans="1:19" ht="12.75" hidden="1" customHeight="1" x14ac:dyDescent="0.2">
      <c r="A43" s="37"/>
      <c r="F43" s="24"/>
      <c r="O43" s="3"/>
      <c r="P43" s="3"/>
      <c r="S43" s="3"/>
    </row>
    <row r="44" spans="1:19" ht="12.75" hidden="1" customHeight="1" x14ac:dyDescent="0.2">
      <c r="A44" s="37"/>
      <c r="F44" s="24"/>
      <c r="O44" s="3"/>
      <c r="P44" s="3"/>
      <c r="S44" s="3"/>
    </row>
    <row r="45" spans="1:19" ht="12.75" hidden="1" customHeight="1" x14ac:dyDescent="0.2">
      <c r="A45" s="37"/>
      <c r="F45" s="24"/>
      <c r="O45" s="3"/>
      <c r="P45" s="3"/>
      <c r="S45" s="3"/>
    </row>
    <row r="46" spans="1:19" ht="12.75" hidden="1" customHeight="1" x14ac:dyDescent="0.2">
      <c r="F46" s="24"/>
      <c r="O46" s="3"/>
      <c r="P46" s="3"/>
      <c r="S46" s="3"/>
    </row>
    <row r="47" spans="1:19" ht="12.75" hidden="1" customHeight="1" x14ac:dyDescent="0.2">
      <c r="A47" s="6"/>
      <c r="B47" s="6"/>
      <c r="C47" s="6"/>
      <c r="D47" s="6"/>
      <c r="E47" s="6"/>
      <c r="F47" s="48"/>
      <c r="O47" s="3"/>
      <c r="P47" s="3"/>
      <c r="S47" s="3"/>
    </row>
    <row r="48" spans="1:19" ht="12.75" customHeight="1" x14ac:dyDescent="0.2">
      <c r="A48" s="58" t="s">
        <v>19</v>
      </c>
      <c r="B48" s="4"/>
      <c r="C48" s="4"/>
      <c r="D48" s="4"/>
      <c r="E48" s="4"/>
      <c r="F48" s="27">
        <f>SUM(F30:F47)</f>
        <v>237290</v>
      </c>
      <c r="O48" s="3"/>
      <c r="P48" s="3"/>
      <c r="S48" s="3"/>
    </row>
    <row r="49" spans="1:21" ht="12.75" customHeight="1" x14ac:dyDescent="0.2">
      <c r="F49" s="24"/>
      <c r="O49" s="3"/>
      <c r="P49" s="3"/>
      <c r="S49" s="3"/>
    </row>
    <row r="50" spans="1:21" ht="12.75" customHeight="1" x14ac:dyDescent="0.2">
      <c r="F50" s="24"/>
      <c r="O50" s="3"/>
      <c r="P50" s="3"/>
      <c r="S50" s="3"/>
    </row>
    <row r="51" spans="1:21" ht="12.75" customHeight="1" x14ac:dyDescent="0.2">
      <c r="A51" s="1" t="s">
        <v>11</v>
      </c>
      <c r="B51" s="7"/>
      <c r="C51" s="7"/>
      <c r="D51" s="7"/>
      <c r="E51" s="7"/>
      <c r="F51" s="9"/>
      <c r="O51" s="40"/>
      <c r="P51" s="3"/>
      <c r="S51" s="3"/>
    </row>
    <row r="52" spans="1:21" ht="12.75" customHeight="1" x14ac:dyDescent="0.2">
      <c r="A52" s="7"/>
      <c r="B52" s="7"/>
      <c r="C52" s="7"/>
      <c r="D52" s="7"/>
      <c r="E52" s="7"/>
      <c r="F52" s="7"/>
      <c r="Q52" s="3"/>
      <c r="R52" s="3"/>
      <c r="U52" s="3"/>
    </row>
    <row r="53" spans="1:21" ht="25.5" x14ac:dyDescent="0.2">
      <c r="A53" s="31" t="s">
        <v>2</v>
      </c>
      <c r="B53" s="31"/>
      <c r="C53" s="31"/>
      <c r="D53" s="31"/>
      <c r="E53" s="31"/>
      <c r="F53" s="31" t="s">
        <v>1</v>
      </c>
      <c r="G53" s="32" t="s">
        <v>0</v>
      </c>
      <c r="Q53" s="3"/>
      <c r="R53" s="3"/>
      <c r="U53" s="3"/>
    </row>
    <row r="54" spans="1:21" x14ac:dyDescent="0.2">
      <c r="A54" s="10"/>
      <c r="B54" s="10"/>
      <c r="C54" s="10"/>
      <c r="D54" s="10"/>
      <c r="E54" s="10"/>
      <c r="F54" s="10"/>
      <c r="G54" s="17"/>
      <c r="Q54" s="3"/>
      <c r="R54" s="3"/>
      <c r="U54" s="3"/>
    </row>
    <row r="55" spans="1:21" x14ac:dyDescent="0.2">
      <c r="A55" s="64" t="s">
        <v>59</v>
      </c>
      <c r="B55" s="11"/>
      <c r="C55" s="12"/>
      <c r="D55" s="13"/>
      <c r="E55" s="14"/>
      <c r="F55" s="15"/>
      <c r="G55" s="6"/>
    </row>
    <row r="56" spans="1:21" x14ac:dyDescent="0.2">
      <c r="A56" s="20" t="s">
        <v>24</v>
      </c>
      <c r="B56" s="18" t="s">
        <v>25</v>
      </c>
      <c r="C56" s="19" t="s">
        <v>26</v>
      </c>
      <c r="D56" s="33" t="s">
        <v>27</v>
      </c>
      <c r="E56" s="33" t="s">
        <v>28</v>
      </c>
      <c r="F56" s="33"/>
      <c r="G56" s="98" t="s">
        <v>88</v>
      </c>
    </row>
    <row r="57" spans="1:21" ht="15.6" customHeight="1" x14ac:dyDescent="0.2">
      <c r="A57" s="67" t="s">
        <v>60</v>
      </c>
      <c r="B57" s="65" t="s">
        <v>56</v>
      </c>
      <c r="C57" s="66" t="s">
        <v>37</v>
      </c>
      <c r="D57" s="33">
        <v>91</v>
      </c>
      <c r="E57" s="33">
        <v>10</v>
      </c>
      <c r="F57" s="33">
        <f>D57*E57</f>
        <v>910</v>
      </c>
      <c r="G57" s="100"/>
    </row>
    <row r="58" spans="1:21" x14ac:dyDescent="0.2">
      <c r="A58" s="68"/>
      <c r="B58" s="65" t="s">
        <v>57</v>
      </c>
      <c r="C58" s="66" t="s">
        <v>32</v>
      </c>
      <c r="D58" s="33">
        <v>65</v>
      </c>
      <c r="E58" s="33">
        <v>13.5</v>
      </c>
      <c r="F58" s="33">
        <f t="shared" ref="F58:F61" si="0">D58*E58</f>
        <v>877.5</v>
      </c>
      <c r="G58" s="100"/>
    </row>
    <row r="59" spans="1:21" x14ac:dyDescent="0.2">
      <c r="A59" s="68"/>
      <c r="B59" s="18" t="s">
        <v>33</v>
      </c>
      <c r="C59" s="66" t="s">
        <v>29</v>
      </c>
      <c r="D59" s="33">
        <v>108</v>
      </c>
      <c r="E59" s="33">
        <v>1</v>
      </c>
      <c r="F59" s="33">
        <f t="shared" si="0"/>
        <v>108</v>
      </c>
      <c r="G59" s="100"/>
    </row>
    <row r="60" spans="1:21" x14ac:dyDescent="0.2">
      <c r="A60" s="68"/>
      <c r="B60" s="65" t="s">
        <v>38</v>
      </c>
      <c r="C60" s="66" t="s">
        <v>32</v>
      </c>
      <c r="D60" s="33">
        <v>65</v>
      </c>
      <c r="E60" s="33">
        <v>2</v>
      </c>
      <c r="F60" s="33">
        <f t="shared" si="0"/>
        <v>130</v>
      </c>
      <c r="G60" s="100"/>
    </row>
    <row r="61" spans="1:21" ht="78" customHeight="1" x14ac:dyDescent="0.2">
      <c r="A61" s="69"/>
      <c r="B61" s="65" t="s">
        <v>58</v>
      </c>
      <c r="C61" s="66" t="s">
        <v>30</v>
      </c>
      <c r="D61" s="33">
        <v>76</v>
      </c>
      <c r="E61" s="33">
        <v>5</v>
      </c>
      <c r="F61" s="33">
        <f t="shared" si="0"/>
        <v>380</v>
      </c>
      <c r="G61" s="101"/>
    </row>
    <row r="62" spans="1:21" ht="24.6" hidden="1" customHeight="1" x14ac:dyDescent="0.2">
      <c r="A62" s="42"/>
      <c r="B62" s="18"/>
      <c r="C62" s="19"/>
      <c r="D62" s="33"/>
      <c r="E62" s="33"/>
      <c r="F62" s="33"/>
      <c r="G62" s="60"/>
    </row>
    <row r="63" spans="1:21" x14ac:dyDescent="0.2">
      <c r="A63" s="21"/>
      <c r="B63" s="4"/>
      <c r="C63" s="22"/>
      <c r="D63" s="34"/>
      <c r="E63" s="34"/>
      <c r="F63" s="34">
        <f>SUM(F56:F62)</f>
        <v>2405.5</v>
      </c>
    </row>
    <row r="64" spans="1:21" x14ac:dyDescent="0.2">
      <c r="A64" s="64" t="s">
        <v>63</v>
      </c>
      <c r="B64" s="7"/>
      <c r="C64" s="7"/>
      <c r="D64" s="7"/>
      <c r="E64" s="7"/>
      <c r="F64" s="7"/>
    </row>
    <row r="65" spans="1:9" ht="12.75" customHeight="1" x14ac:dyDescent="0.2">
      <c r="A65" s="20" t="s">
        <v>24</v>
      </c>
      <c r="B65" s="18" t="s">
        <v>25</v>
      </c>
      <c r="C65" s="19" t="s">
        <v>26</v>
      </c>
      <c r="D65" s="33" t="s">
        <v>27</v>
      </c>
      <c r="E65" s="33" t="s">
        <v>28</v>
      </c>
      <c r="F65" s="33"/>
      <c r="G65" s="98" t="s">
        <v>89</v>
      </c>
    </row>
    <row r="66" spans="1:9" ht="38.25" x14ac:dyDescent="0.2">
      <c r="A66" s="78" t="s">
        <v>80</v>
      </c>
      <c r="B66" s="65" t="s">
        <v>65</v>
      </c>
      <c r="C66" s="66" t="s">
        <v>29</v>
      </c>
      <c r="D66" s="33">
        <v>108</v>
      </c>
      <c r="E66" s="33">
        <f>6+3.5+7+0.5+3.5+2.5</f>
        <v>23</v>
      </c>
      <c r="F66" s="33">
        <f>D66*E66</f>
        <v>2484</v>
      </c>
      <c r="G66" s="100"/>
    </row>
    <row r="67" spans="1:9" x14ac:dyDescent="0.2">
      <c r="A67" s="71" t="s">
        <v>83</v>
      </c>
      <c r="B67" s="18" t="s">
        <v>35</v>
      </c>
      <c r="C67" s="19" t="s">
        <v>32</v>
      </c>
      <c r="D67" s="33">
        <v>65</v>
      </c>
      <c r="E67" s="33">
        <f>9+6.5+3.5</f>
        <v>19</v>
      </c>
      <c r="F67" s="33">
        <f>D67*E67</f>
        <v>1235</v>
      </c>
      <c r="G67" s="100"/>
    </row>
    <row r="68" spans="1:9" x14ac:dyDescent="0.2">
      <c r="A68" s="82" t="s">
        <v>94</v>
      </c>
      <c r="B68" s="18" t="s">
        <v>33</v>
      </c>
      <c r="C68" s="66" t="s">
        <v>29</v>
      </c>
      <c r="D68" s="33">
        <v>108</v>
      </c>
      <c r="E68" s="33">
        <f>3+5</f>
        <v>8</v>
      </c>
      <c r="F68" s="33">
        <f>D68*E68</f>
        <v>864</v>
      </c>
      <c r="G68" s="100"/>
    </row>
    <row r="69" spans="1:9" ht="13.5" customHeight="1" x14ac:dyDescent="0.2">
      <c r="A69" s="84"/>
      <c r="B69" s="83"/>
      <c r="C69" s="85"/>
      <c r="D69" s="79"/>
      <c r="E69" s="79"/>
      <c r="F69" s="33"/>
      <c r="G69" s="100"/>
    </row>
    <row r="70" spans="1:9" ht="43.15" customHeight="1" x14ac:dyDescent="0.2">
      <c r="A70" s="73"/>
      <c r="B70" s="65"/>
      <c r="C70" s="66"/>
      <c r="D70" s="33"/>
      <c r="E70" s="33"/>
      <c r="F70" s="33"/>
      <c r="G70" s="101"/>
    </row>
    <row r="71" spans="1:9" x14ac:dyDescent="0.2">
      <c r="A71" s="16"/>
      <c r="B71" s="4"/>
      <c r="C71" s="4"/>
      <c r="D71" s="27"/>
      <c r="E71" s="27"/>
      <c r="F71" s="34">
        <f>SUM(F65:F70)</f>
        <v>4583</v>
      </c>
      <c r="G71" s="4"/>
    </row>
    <row r="72" spans="1:9" x14ac:dyDescent="0.2">
      <c r="A72" s="64" t="s">
        <v>64</v>
      </c>
      <c r="B72" s="7"/>
      <c r="C72" s="7"/>
      <c r="D72" s="7"/>
      <c r="E72" s="7"/>
      <c r="F72" s="7"/>
    </row>
    <row r="73" spans="1:9" ht="16.5" customHeight="1" x14ac:dyDescent="0.2">
      <c r="A73" s="42" t="s">
        <v>24</v>
      </c>
      <c r="B73" s="18" t="s">
        <v>25</v>
      </c>
      <c r="C73" s="19" t="s">
        <v>26</v>
      </c>
      <c r="D73" s="33" t="s">
        <v>27</v>
      </c>
      <c r="E73" s="33" t="s">
        <v>28</v>
      </c>
      <c r="F73" s="33"/>
      <c r="G73" s="96" t="s">
        <v>79</v>
      </c>
    </row>
    <row r="74" spans="1:9" ht="25.5" x14ac:dyDescent="0.2">
      <c r="A74" s="78" t="s">
        <v>81</v>
      </c>
      <c r="B74" s="72" t="s">
        <v>65</v>
      </c>
      <c r="C74" s="19" t="s">
        <v>29</v>
      </c>
      <c r="D74" s="33">
        <v>108</v>
      </c>
      <c r="E74" s="33">
        <f>6+8.5+7+0.5</f>
        <v>22</v>
      </c>
      <c r="F74" s="33">
        <f>D74*E74</f>
        <v>2376</v>
      </c>
      <c r="G74" s="97"/>
    </row>
    <row r="75" spans="1:9" x14ac:dyDescent="0.2">
      <c r="A75" s="71" t="s">
        <v>82</v>
      </c>
      <c r="B75" s="53" t="s">
        <v>35</v>
      </c>
      <c r="C75" s="19" t="s">
        <v>32</v>
      </c>
      <c r="D75" s="33">
        <v>65</v>
      </c>
      <c r="E75" s="33">
        <f>6.5+3.5</f>
        <v>10</v>
      </c>
      <c r="F75" s="33">
        <f>D75*E75</f>
        <v>650</v>
      </c>
      <c r="G75" s="97"/>
    </row>
    <row r="76" spans="1:9" x14ac:dyDescent="0.2">
      <c r="A76" s="71" t="s">
        <v>84</v>
      </c>
      <c r="B76" s="76" t="s">
        <v>33</v>
      </c>
      <c r="C76" s="66" t="s">
        <v>29</v>
      </c>
      <c r="D76" s="33">
        <v>108</v>
      </c>
      <c r="E76" s="33">
        <f>4.5+5.5</f>
        <v>10</v>
      </c>
      <c r="F76" s="33">
        <f>D76*E76</f>
        <v>1080</v>
      </c>
      <c r="G76" s="97"/>
    </row>
    <row r="77" spans="1:9" ht="27.6" customHeight="1" x14ac:dyDescent="0.2">
      <c r="A77" s="73" t="s">
        <v>84</v>
      </c>
      <c r="B77" s="76" t="s">
        <v>36</v>
      </c>
      <c r="C77" s="66" t="s">
        <v>30</v>
      </c>
      <c r="D77" s="33">
        <v>76</v>
      </c>
      <c r="E77" s="33">
        <f>7.5+7.5</f>
        <v>15</v>
      </c>
      <c r="F77" s="33">
        <f>D77*E77</f>
        <v>1140</v>
      </c>
      <c r="G77" s="97"/>
    </row>
    <row r="78" spans="1:9" x14ac:dyDescent="0.2">
      <c r="A78" s="16"/>
      <c r="B78" s="4"/>
      <c r="C78" s="4"/>
      <c r="D78" s="27"/>
      <c r="E78" s="27"/>
      <c r="F78" s="34">
        <f>SUM(F73:F77)</f>
        <v>5246</v>
      </c>
      <c r="G78" s="4"/>
    </row>
    <row r="79" spans="1:9" x14ac:dyDescent="0.2">
      <c r="A79" s="64" t="s">
        <v>91</v>
      </c>
      <c r="B79" s="7"/>
      <c r="C79" s="7"/>
      <c r="D79" s="7"/>
      <c r="E79" s="7"/>
      <c r="F79" s="7"/>
      <c r="I79" s="63"/>
    </row>
    <row r="80" spans="1:9" ht="15.75" customHeight="1" x14ac:dyDescent="0.2">
      <c r="A80" s="42" t="s">
        <v>24</v>
      </c>
      <c r="B80" s="18" t="s">
        <v>25</v>
      </c>
      <c r="C80" s="19" t="s">
        <v>26</v>
      </c>
      <c r="D80" s="33" t="s">
        <v>27</v>
      </c>
      <c r="E80" s="33" t="s">
        <v>28</v>
      </c>
      <c r="F80" s="33"/>
      <c r="G80" s="98" t="s">
        <v>93</v>
      </c>
      <c r="I80" s="24"/>
    </row>
    <row r="81" spans="1:7" ht="27" customHeight="1" x14ac:dyDescent="0.2">
      <c r="A81" s="80" t="s">
        <v>92</v>
      </c>
      <c r="B81" s="65" t="s">
        <v>65</v>
      </c>
      <c r="C81" s="19" t="s">
        <v>29</v>
      </c>
      <c r="D81" s="33">
        <v>108</v>
      </c>
      <c r="E81" s="33">
        <v>80</v>
      </c>
      <c r="F81" s="33">
        <f t="shared" ref="F81:F85" si="1">D81*E81</f>
        <v>8640</v>
      </c>
      <c r="G81" s="99"/>
    </row>
    <row r="82" spans="1:7" ht="15.75" customHeight="1" x14ac:dyDescent="0.2">
      <c r="A82" s="80" t="s">
        <v>92</v>
      </c>
      <c r="B82" s="65" t="s">
        <v>72</v>
      </c>
      <c r="C82" s="66" t="s">
        <v>30</v>
      </c>
      <c r="D82" s="33">
        <v>76</v>
      </c>
      <c r="E82" s="33">
        <v>70.5</v>
      </c>
      <c r="F82" s="33">
        <f t="shared" si="1"/>
        <v>5358</v>
      </c>
      <c r="G82" s="99"/>
    </row>
    <row r="83" spans="1:7" ht="15.75" customHeight="1" x14ac:dyDescent="0.2">
      <c r="A83" s="80" t="s">
        <v>92</v>
      </c>
      <c r="B83" s="65" t="s">
        <v>33</v>
      </c>
      <c r="C83" s="66" t="s">
        <v>29</v>
      </c>
      <c r="D83" s="33">
        <v>108</v>
      </c>
      <c r="E83" s="33">
        <f>175/10</f>
        <v>17.5</v>
      </c>
      <c r="F83" s="33">
        <f t="shared" si="1"/>
        <v>1890</v>
      </c>
      <c r="G83" s="99"/>
    </row>
    <row r="84" spans="1:7" ht="15.75" customHeight="1" x14ac:dyDescent="0.2">
      <c r="A84" s="80" t="s">
        <v>92</v>
      </c>
      <c r="B84" s="65" t="s">
        <v>36</v>
      </c>
      <c r="C84" s="66" t="s">
        <v>30</v>
      </c>
      <c r="D84" s="33">
        <v>76</v>
      </c>
      <c r="E84" s="33">
        <f>312/12</f>
        <v>26</v>
      </c>
      <c r="F84" s="33">
        <f t="shared" si="1"/>
        <v>1976</v>
      </c>
      <c r="G84" s="99"/>
    </row>
    <row r="85" spans="1:7" ht="15.75" customHeight="1" x14ac:dyDescent="0.2">
      <c r="A85" s="80" t="s">
        <v>92</v>
      </c>
      <c r="B85" s="65" t="s">
        <v>38</v>
      </c>
      <c r="C85" s="66" t="s">
        <v>32</v>
      </c>
      <c r="D85" s="33">
        <v>65</v>
      </c>
      <c r="E85" s="33">
        <f>556/8</f>
        <v>69.5</v>
      </c>
      <c r="F85" s="33">
        <f t="shared" si="1"/>
        <v>4517.5</v>
      </c>
      <c r="G85" s="99"/>
    </row>
    <row r="86" spans="1:7" ht="110.45" customHeight="1" x14ac:dyDescent="0.2">
      <c r="A86" s="73" t="s">
        <v>76</v>
      </c>
      <c r="B86" s="65" t="s">
        <v>75</v>
      </c>
      <c r="C86" s="66" t="s">
        <v>29</v>
      </c>
      <c r="D86" s="33">
        <v>108</v>
      </c>
      <c r="E86" s="33">
        <v>9.5</v>
      </c>
      <c r="F86" s="33">
        <f>D86*E86</f>
        <v>1026</v>
      </c>
      <c r="G86" s="102"/>
    </row>
    <row r="87" spans="1:7" x14ac:dyDescent="0.2">
      <c r="A87" s="16"/>
      <c r="B87" s="4"/>
      <c r="C87" s="4"/>
      <c r="D87" s="27"/>
      <c r="E87" s="27"/>
      <c r="F87" s="34">
        <f>SUM(F81:F86)</f>
        <v>23407.5</v>
      </c>
      <c r="G87" s="4"/>
    </row>
    <row r="88" spans="1:7" x14ac:dyDescent="0.2">
      <c r="A88" s="64" t="s">
        <v>66</v>
      </c>
      <c r="B88" s="7"/>
      <c r="C88" s="7"/>
      <c r="D88" s="7"/>
      <c r="E88" s="7"/>
      <c r="F88" s="7"/>
    </row>
    <row r="89" spans="1:7" ht="12.75" customHeight="1" x14ac:dyDescent="0.2">
      <c r="A89" s="42" t="s">
        <v>24</v>
      </c>
      <c r="B89" s="18" t="s">
        <v>25</v>
      </c>
      <c r="C89" s="19" t="s">
        <v>26</v>
      </c>
      <c r="D89" s="33" t="s">
        <v>27</v>
      </c>
      <c r="E89" s="33" t="s">
        <v>28</v>
      </c>
      <c r="F89" s="33"/>
      <c r="G89" s="98" t="s">
        <v>100</v>
      </c>
    </row>
    <row r="90" spans="1:7" ht="28.5" customHeight="1" x14ac:dyDescent="0.2">
      <c r="A90" s="81" t="s">
        <v>101</v>
      </c>
      <c r="B90" s="65" t="s">
        <v>65</v>
      </c>
      <c r="C90" s="66" t="s">
        <v>29</v>
      </c>
      <c r="D90" s="33">
        <v>108</v>
      </c>
      <c r="E90" s="33">
        <f>6+0.5+3</f>
        <v>9.5</v>
      </c>
      <c r="F90" s="33">
        <f>D90*E90</f>
        <v>1026</v>
      </c>
      <c r="G90" s="99"/>
    </row>
    <row r="91" spans="1:7" x14ac:dyDescent="0.2">
      <c r="A91" s="74" t="s">
        <v>102</v>
      </c>
      <c r="B91" s="18" t="s">
        <v>33</v>
      </c>
      <c r="C91" s="66" t="s">
        <v>29</v>
      </c>
      <c r="D91" s="33">
        <v>108</v>
      </c>
      <c r="E91" s="33">
        <v>4</v>
      </c>
      <c r="F91" s="33">
        <f>D91*E91</f>
        <v>432</v>
      </c>
      <c r="G91" s="99"/>
    </row>
    <row r="92" spans="1:7" x14ac:dyDescent="0.2">
      <c r="A92" s="74" t="s">
        <v>102</v>
      </c>
      <c r="B92" s="65" t="s">
        <v>38</v>
      </c>
      <c r="C92" s="66" t="s">
        <v>32</v>
      </c>
      <c r="D92" s="33">
        <v>65</v>
      </c>
      <c r="E92" s="33">
        <v>15</v>
      </c>
      <c r="F92" s="33">
        <f>D92*E92</f>
        <v>975</v>
      </c>
      <c r="G92" s="99"/>
    </row>
    <row r="93" spans="1:7" ht="55.15" customHeight="1" x14ac:dyDescent="0.2">
      <c r="A93" s="81" t="s">
        <v>99</v>
      </c>
      <c r="B93" s="65" t="s">
        <v>31</v>
      </c>
      <c r="C93" s="66" t="s">
        <v>30</v>
      </c>
      <c r="D93" s="33">
        <v>76</v>
      </c>
      <c r="E93" s="33">
        <f>8*3</f>
        <v>24</v>
      </c>
      <c r="F93" s="33">
        <f>D93*E93</f>
        <v>1824</v>
      </c>
      <c r="G93" s="102"/>
    </row>
    <row r="94" spans="1:7" x14ac:dyDescent="0.2">
      <c r="A94" s="54"/>
      <c r="B94" s="50"/>
      <c r="C94" s="51"/>
      <c r="D94" s="52"/>
      <c r="E94" s="52"/>
      <c r="F94" s="52">
        <f>SUM(F90:F93)</f>
        <v>4257</v>
      </c>
      <c r="G94" s="55"/>
    </row>
    <row r="95" spans="1:7" x14ac:dyDescent="0.2">
      <c r="A95" s="64" t="s">
        <v>67</v>
      </c>
      <c r="B95" s="7"/>
      <c r="C95" s="7"/>
      <c r="D95" s="7"/>
      <c r="E95" s="7"/>
      <c r="F95" s="7"/>
    </row>
    <row r="96" spans="1:7" ht="12.75" customHeight="1" x14ac:dyDescent="0.2">
      <c r="A96" s="42" t="s">
        <v>24</v>
      </c>
      <c r="B96" s="18" t="s">
        <v>25</v>
      </c>
      <c r="C96" s="19" t="s">
        <v>26</v>
      </c>
      <c r="D96" s="33" t="s">
        <v>27</v>
      </c>
      <c r="E96" s="33" t="s">
        <v>28</v>
      </c>
      <c r="F96" s="33"/>
      <c r="G96" s="98" t="s">
        <v>77</v>
      </c>
    </row>
    <row r="97" spans="1:7" x14ac:dyDescent="0.2">
      <c r="A97" s="73" t="s">
        <v>78</v>
      </c>
      <c r="B97" s="75" t="s">
        <v>65</v>
      </c>
      <c r="C97" s="66" t="s">
        <v>29</v>
      </c>
      <c r="D97" s="33">
        <v>108</v>
      </c>
      <c r="E97" s="33">
        <f>3+3+4.5</f>
        <v>10.5</v>
      </c>
      <c r="F97" s="33">
        <f>D97*E97</f>
        <v>1134</v>
      </c>
      <c r="G97" s="100"/>
    </row>
    <row r="98" spans="1:7" x14ac:dyDescent="0.2">
      <c r="A98" s="73" t="s">
        <v>86</v>
      </c>
      <c r="B98" s="75" t="s">
        <v>36</v>
      </c>
      <c r="C98" s="66" t="s">
        <v>30</v>
      </c>
      <c r="D98" s="33">
        <v>76</v>
      </c>
      <c r="E98" s="33">
        <v>10.5</v>
      </c>
      <c r="F98" s="33">
        <f t="shared" ref="F98:F99" si="2">D98*E98</f>
        <v>798</v>
      </c>
      <c r="G98" s="100"/>
    </row>
    <row r="99" spans="1:7" x14ac:dyDescent="0.2">
      <c r="A99" s="73" t="s">
        <v>86</v>
      </c>
      <c r="B99" s="75" t="s">
        <v>38</v>
      </c>
      <c r="C99" s="66" t="s">
        <v>32</v>
      </c>
      <c r="D99" s="33">
        <v>65</v>
      </c>
      <c r="E99" s="33">
        <f>29.5/2</f>
        <v>14.75</v>
      </c>
      <c r="F99" s="33">
        <f t="shared" si="2"/>
        <v>958.75</v>
      </c>
      <c r="G99" s="100"/>
    </row>
    <row r="100" spans="1:7" ht="27.75" customHeight="1" x14ac:dyDescent="0.2">
      <c r="A100" s="43">
        <v>45257</v>
      </c>
      <c r="B100" s="75" t="s">
        <v>33</v>
      </c>
      <c r="C100" s="66" t="s">
        <v>29</v>
      </c>
      <c r="D100" s="33">
        <v>108</v>
      </c>
      <c r="E100" s="33">
        <v>4</v>
      </c>
      <c r="F100" s="33">
        <f>D100*E100</f>
        <v>432</v>
      </c>
      <c r="G100" s="101"/>
    </row>
    <row r="101" spans="1:7" x14ac:dyDescent="0.2">
      <c r="A101" s="7"/>
      <c r="D101" s="24"/>
      <c r="E101" s="24"/>
      <c r="F101" s="56">
        <f>SUM(F97:F100)</f>
        <v>3322.75</v>
      </c>
    </row>
    <row r="102" spans="1:7" x14ac:dyDescent="0.2">
      <c r="A102" s="64" t="s">
        <v>73</v>
      </c>
      <c r="B102" s="7"/>
      <c r="C102" s="7"/>
      <c r="D102" s="7"/>
      <c r="E102" s="7"/>
      <c r="F102" s="7"/>
    </row>
    <row r="103" spans="1:7" x14ac:dyDescent="0.2">
      <c r="A103" s="42" t="s">
        <v>24</v>
      </c>
      <c r="B103" s="18" t="s">
        <v>25</v>
      </c>
      <c r="C103" s="19" t="s">
        <v>26</v>
      </c>
      <c r="D103" s="33" t="s">
        <v>27</v>
      </c>
      <c r="E103" s="33" t="s">
        <v>28</v>
      </c>
      <c r="F103" s="33"/>
      <c r="G103" s="96" t="s">
        <v>74</v>
      </c>
    </row>
    <row r="104" spans="1:7" x14ac:dyDescent="0.2">
      <c r="A104" s="74">
        <v>45223</v>
      </c>
      <c r="B104" s="65" t="s">
        <v>65</v>
      </c>
      <c r="C104" s="66" t="s">
        <v>29</v>
      </c>
      <c r="D104" s="33">
        <v>108</v>
      </c>
      <c r="E104" s="33">
        <f>8</f>
        <v>8</v>
      </c>
      <c r="F104" s="33">
        <f>D104*E104</f>
        <v>864</v>
      </c>
      <c r="G104" s="97"/>
    </row>
    <row r="105" spans="1:7" x14ac:dyDescent="0.2">
      <c r="A105" s="74">
        <v>45223</v>
      </c>
      <c r="B105" s="65" t="s">
        <v>38</v>
      </c>
      <c r="C105" s="66" t="s">
        <v>32</v>
      </c>
      <c r="D105" s="33">
        <v>65</v>
      </c>
      <c r="E105" s="33">
        <f>24</f>
        <v>24</v>
      </c>
      <c r="F105" s="33">
        <f>D105*E105</f>
        <v>1560</v>
      </c>
      <c r="G105" s="97"/>
    </row>
    <row r="106" spans="1:7" x14ac:dyDescent="0.2">
      <c r="A106" s="7"/>
      <c r="D106" s="24"/>
      <c r="E106" s="24"/>
      <c r="F106" s="56">
        <f>SUM(F104:F105)</f>
        <v>2424</v>
      </c>
    </row>
    <row r="107" spans="1:7" x14ac:dyDescent="0.2">
      <c r="A107" s="7"/>
      <c r="D107" s="24"/>
      <c r="E107" s="24"/>
      <c r="F107" s="56"/>
    </row>
    <row r="108" spans="1:7" x14ac:dyDescent="0.2">
      <c r="A108" s="77" t="s">
        <v>90</v>
      </c>
      <c r="B108" s="7"/>
      <c r="C108" s="7"/>
      <c r="D108" s="7"/>
      <c r="E108" s="7"/>
      <c r="F108" s="7"/>
    </row>
    <row r="109" spans="1:7" x14ac:dyDescent="0.2">
      <c r="A109" s="42" t="s">
        <v>24</v>
      </c>
      <c r="B109" s="18" t="s">
        <v>25</v>
      </c>
      <c r="C109" s="19" t="s">
        <v>26</v>
      </c>
      <c r="D109" s="33" t="s">
        <v>27</v>
      </c>
      <c r="E109" s="33" t="s">
        <v>28</v>
      </c>
      <c r="F109" s="33"/>
      <c r="G109" s="98" t="s">
        <v>98</v>
      </c>
    </row>
    <row r="110" spans="1:7" x14ac:dyDescent="0.2">
      <c r="A110" s="73" t="s">
        <v>97</v>
      </c>
      <c r="B110" s="65" t="s">
        <v>33</v>
      </c>
      <c r="C110" s="66" t="s">
        <v>29</v>
      </c>
      <c r="D110" s="33">
        <v>108</v>
      </c>
      <c r="E110" s="33">
        <f>88/4</f>
        <v>22</v>
      </c>
      <c r="F110" s="33">
        <f>D110*E110</f>
        <v>2376</v>
      </c>
      <c r="G110" s="99"/>
    </row>
    <row r="111" spans="1:7" x14ac:dyDescent="0.2">
      <c r="A111" s="73" t="s">
        <v>97</v>
      </c>
      <c r="B111" s="65" t="s">
        <v>36</v>
      </c>
      <c r="C111" s="66" t="s">
        <v>30</v>
      </c>
      <c r="D111" s="33">
        <v>76</v>
      </c>
      <c r="E111" s="33">
        <f>385/2</f>
        <v>192.5</v>
      </c>
      <c r="F111" s="33">
        <f t="shared" ref="F111:F115" si="3">D111*E111</f>
        <v>14630</v>
      </c>
      <c r="G111" s="99"/>
    </row>
    <row r="112" spans="1:7" x14ac:dyDescent="0.2">
      <c r="A112" s="73" t="s">
        <v>97</v>
      </c>
      <c r="B112" s="65" t="s">
        <v>38</v>
      </c>
      <c r="C112" s="66" t="s">
        <v>32</v>
      </c>
      <c r="D112" s="33">
        <v>65</v>
      </c>
      <c r="E112" s="33">
        <f>236/2</f>
        <v>118</v>
      </c>
      <c r="F112" s="33">
        <f t="shared" si="3"/>
        <v>7670</v>
      </c>
      <c r="G112" s="99"/>
    </row>
    <row r="113" spans="1:19" x14ac:dyDescent="0.2">
      <c r="A113" s="73" t="s">
        <v>97</v>
      </c>
      <c r="B113" s="65" t="s">
        <v>31</v>
      </c>
      <c r="C113" s="66" t="s">
        <v>30</v>
      </c>
      <c r="D113" s="33">
        <v>76</v>
      </c>
      <c r="E113" s="33">
        <f>254/2</f>
        <v>127</v>
      </c>
      <c r="F113" s="33">
        <f t="shared" si="3"/>
        <v>9652</v>
      </c>
      <c r="G113" s="99"/>
    </row>
    <row r="114" spans="1:19" x14ac:dyDescent="0.2">
      <c r="A114" s="73" t="s">
        <v>97</v>
      </c>
      <c r="B114" s="65" t="s">
        <v>95</v>
      </c>
      <c r="C114" s="66" t="s">
        <v>29</v>
      </c>
      <c r="D114" s="33">
        <v>108</v>
      </c>
      <c r="E114" s="33">
        <v>21</v>
      </c>
      <c r="F114" s="33">
        <f t="shared" si="3"/>
        <v>2268</v>
      </c>
      <c r="G114" s="99"/>
    </row>
    <row r="115" spans="1:19" ht="91.9" customHeight="1" x14ac:dyDescent="0.2">
      <c r="A115" s="88" t="s">
        <v>97</v>
      </c>
      <c r="B115" s="89" t="s">
        <v>56</v>
      </c>
      <c r="C115" s="90" t="s">
        <v>37</v>
      </c>
      <c r="D115" s="91">
        <v>91</v>
      </c>
      <c r="E115" s="91">
        <f>104/4</f>
        <v>26</v>
      </c>
      <c r="F115" s="91">
        <f t="shared" si="3"/>
        <v>2366</v>
      </c>
      <c r="G115" s="99"/>
    </row>
    <row r="116" spans="1:19" ht="63.75" x14ac:dyDescent="0.2">
      <c r="A116" s="92"/>
      <c r="B116" s="93"/>
      <c r="C116" s="94"/>
      <c r="D116" s="95"/>
      <c r="E116" s="95"/>
      <c r="F116" s="95"/>
      <c r="G116" s="86" t="s">
        <v>96</v>
      </c>
    </row>
    <row r="117" spans="1:19" ht="51" x14ac:dyDescent="0.2">
      <c r="A117" s="84"/>
      <c r="B117" s="83"/>
      <c r="C117" s="85"/>
      <c r="D117" s="79"/>
      <c r="E117" s="79"/>
      <c r="F117" s="79"/>
      <c r="G117" s="87" t="s">
        <v>103</v>
      </c>
    </row>
    <row r="118" spans="1:19" x14ac:dyDescent="0.2">
      <c r="A118" s="7"/>
      <c r="D118" s="24"/>
      <c r="E118" s="24"/>
      <c r="F118" s="56">
        <f>SUM(F110:F115)</f>
        <v>38962</v>
      </c>
    </row>
    <row r="119" spans="1:19" x14ac:dyDescent="0.2">
      <c r="A119" s="7"/>
      <c r="D119" s="24"/>
      <c r="E119" s="24"/>
      <c r="F119" s="56"/>
    </row>
    <row r="120" spans="1:19" x14ac:dyDescent="0.2">
      <c r="A120" s="7"/>
      <c r="D120" s="24"/>
      <c r="E120" s="24"/>
      <c r="F120" s="56"/>
    </row>
    <row r="121" spans="1:19" x14ac:dyDescent="0.2">
      <c r="A121" s="7"/>
      <c r="D121" s="24"/>
      <c r="E121" s="24"/>
      <c r="F121" s="56"/>
    </row>
    <row r="122" spans="1:19" x14ac:dyDescent="0.2">
      <c r="A122" s="7"/>
      <c r="D122" s="24"/>
      <c r="E122" s="24"/>
      <c r="F122" s="56"/>
    </row>
    <row r="123" spans="1:19" x14ac:dyDescent="0.2">
      <c r="A123" s="2" t="s">
        <v>4</v>
      </c>
      <c r="D123" s="24"/>
      <c r="E123" s="24"/>
      <c r="F123" s="25">
        <f>F63+F71+F78+F87+F94+F101+F106+F118</f>
        <v>84607.75</v>
      </c>
      <c r="I123" s="63"/>
    </row>
    <row r="124" spans="1:19" x14ac:dyDescent="0.2">
      <c r="D124" s="24"/>
      <c r="E124" s="24"/>
      <c r="F124" s="25"/>
      <c r="I124" s="59"/>
    </row>
    <row r="125" spans="1:19" ht="12.75" customHeight="1" x14ac:dyDescent="0.2">
      <c r="F125" s="24"/>
      <c r="O125" s="3"/>
      <c r="P125" s="3"/>
      <c r="S125" s="3"/>
    </row>
    <row r="126" spans="1:19" ht="12.75" customHeight="1" x14ac:dyDescent="0.2">
      <c r="A126" s="28" t="s">
        <v>18</v>
      </c>
      <c r="F126" s="26"/>
      <c r="G126" s="61"/>
      <c r="O126" s="3"/>
      <c r="P126" s="3"/>
      <c r="S126" s="3"/>
    </row>
    <row r="127" spans="1:19" ht="12.75" hidden="1" customHeight="1" x14ac:dyDescent="0.2">
      <c r="A127" s="28"/>
      <c r="F127" s="26"/>
      <c r="O127" s="3"/>
      <c r="P127" s="3"/>
      <c r="S127" s="3"/>
    </row>
    <row r="128" spans="1:19" ht="12.75" hidden="1" customHeight="1" x14ac:dyDescent="0.2">
      <c r="F128" s="24"/>
      <c r="O128" s="3"/>
      <c r="P128" s="3"/>
      <c r="S128" s="3"/>
    </row>
    <row r="129" spans="1:19" ht="12.75" customHeight="1" x14ac:dyDescent="0.2">
      <c r="F129" s="24"/>
      <c r="O129" s="3"/>
      <c r="P129" s="3"/>
      <c r="S129" s="3"/>
    </row>
    <row r="130" spans="1:19" ht="12.75" customHeight="1" x14ac:dyDescent="0.2">
      <c r="A130" s="6"/>
      <c r="B130" s="6"/>
      <c r="C130" s="6"/>
      <c r="D130" s="6"/>
      <c r="E130" s="6"/>
      <c r="F130" s="48">
        <v>0</v>
      </c>
      <c r="O130" s="3"/>
      <c r="P130" s="3"/>
      <c r="S130" s="3"/>
    </row>
    <row r="131" spans="1:19" ht="12.75" customHeight="1" x14ac:dyDescent="0.2">
      <c r="A131" s="2" t="s">
        <v>6</v>
      </c>
      <c r="F131" s="25">
        <f>SUM(F129:F130)</f>
        <v>0</v>
      </c>
      <c r="O131" s="3"/>
      <c r="P131" s="3"/>
      <c r="S131" s="3"/>
    </row>
    <row r="132" spans="1:19" ht="12.75" customHeight="1" x14ac:dyDescent="0.2">
      <c r="F132" s="24"/>
      <c r="O132" s="3"/>
      <c r="P132" s="3"/>
      <c r="S132" s="3"/>
    </row>
    <row r="133" spans="1:19" ht="12.75" customHeight="1" x14ac:dyDescent="0.2">
      <c r="F133" s="24"/>
      <c r="O133" s="3"/>
      <c r="P133" s="3"/>
      <c r="S133" s="3"/>
    </row>
    <row r="134" spans="1:19" x14ac:dyDescent="0.2">
      <c r="A134" s="1" t="s">
        <v>85</v>
      </c>
      <c r="B134" s="7"/>
      <c r="C134" s="7"/>
      <c r="D134" s="7"/>
      <c r="E134" s="7"/>
      <c r="F134" s="38"/>
    </row>
    <row r="135" spans="1:19" x14ac:dyDescent="0.2">
      <c r="A135" s="7"/>
      <c r="B135" s="7"/>
      <c r="C135" s="7"/>
      <c r="D135" s="7"/>
      <c r="E135" s="7"/>
      <c r="F135" s="38"/>
    </row>
    <row r="136" spans="1:19" x14ac:dyDescent="0.2">
      <c r="A136" s="2" t="s">
        <v>12</v>
      </c>
      <c r="F136" s="36">
        <f>F23</f>
        <v>818610</v>
      </c>
    </row>
    <row r="137" spans="1:19" x14ac:dyDescent="0.2">
      <c r="A137" s="2" t="s">
        <v>13</v>
      </c>
      <c r="E137" s="35" t="s">
        <v>5</v>
      </c>
      <c r="F137" s="36">
        <f>F123</f>
        <v>84607.75</v>
      </c>
    </row>
    <row r="138" spans="1:19" x14ac:dyDescent="0.2">
      <c r="A138" s="2" t="s">
        <v>14</v>
      </c>
      <c r="E138" s="35" t="s">
        <v>7</v>
      </c>
      <c r="F138" s="36">
        <f>F131</f>
        <v>0</v>
      </c>
    </row>
    <row r="139" spans="1:19" x14ac:dyDescent="0.2">
      <c r="A139" s="4" t="s">
        <v>15</v>
      </c>
      <c r="B139" s="4"/>
      <c r="C139" s="4"/>
      <c r="D139" s="4"/>
      <c r="E139" s="4"/>
      <c r="F139" s="57">
        <f>F136+F137-F138</f>
        <v>903217.75</v>
      </c>
    </row>
    <row r="140" spans="1:19" ht="12.75" customHeight="1" x14ac:dyDescent="0.2">
      <c r="E140" s="59"/>
      <c r="F140" s="24"/>
      <c r="O140" s="3"/>
      <c r="P140" s="3"/>
      <c r="S140" s="3"/>
    </row>
    <row r="141" spans="1:19" ht="12.75" customHeight="1" x14ac:dyDescent="0.2">
      <c r="F141" s="24"/>
      <c r="O141" s="3"/>
      <c r="P141" s="3"/>
      <c r="S141" s="3"/>
    </row>
    <row r="142" spans="1:19" hidden="1" x14ac:dyDescent="0.2">
      <c r="A142" s="1" t="s">
        <v>34</v>
      </c>
      <c r="B142" s="7"/>
      <c r="C142" s="7"/>
      <c r="D142" s="7"/>
      <c r="E142" s="7"/>
      <c r="F142" s="38"/>
    </row>
    <row r="143" spans="1:19" hidden="1" x14ac:dyDescent="0.2">
      <c r="A143" s="7"/>
      <c r="B143" s="7"/>
      <c r="C143" s="7"/>
      <c r="D143" s="7"/>
      <c r="E143" s="7"/>
      <c r="F143" s="38"/>
    </row>
    <row r="144" spans="1:19" hidden="1" x14ac:dyDescent="0.2">
      <c r="A144" s="2" t="s">
        <v>22</v>
      </c>
      <c r="F144" s="36">
        <f>F139</f>
        <v>903217.75</v>
      </c>
    </row>
    <row r="145" spans="1:6" hidden="1" x14ac:dyDescent="0.2">
      <c r="A145" s="2" t="s">
        <v>20</v>
      </c>
      <c r="E145" s="35" t="s">
        <v>7</v>
      </c>
      <c r="F145" s="36">
        <f>F48</f>
        <v>237290</v>
      </c>
    </row>
    <row r="146" spans="1:6" hidden="1" x14ac:dyDescent="0.2">
      <c r="A146" s="4" t="s">
        <v>21</v>
      </c>
      <c r="B146" s="4"/>
      <c r="C146" s="4"/>
      <c r="D146" s="4"/>
      <c r="E146" s="4"/>
      <c r="F146" s="57">
        <f>F144-F145</f>
        <v>665927.75</v>
      </c>
    </row>
    <row r="147" spans="1:6" x14ac:dyDescent="0.2">
      <c r="A147" s="7"/>
      <c r="B147" s="7"/>
      <c r="C147" s="7"/>
      <c r="D147" s="7"/>
      <c r="E147" s="7"/>
      <c r="F147" s="30"/>
    </row>
    <row r="148" spans="1:6" x14ac:dyDescent="0.2">
      <c r="A148" s="7"/>
      <c r="B148" s="7"/>
      <c r="C148" s="7"/>
      <c r="D148" s="7"/>
      <c r="E148" s="7"/>
      <c r="F148" s="30"/>
    </row>
    <row r="150" spans="1:6" x14ac:dyDescent="0.2">
      <c r="F150" s="36"/>
    </row>
    <row r="151" spans="1:6" x14ac:dyDescent="0.2">
      <c r="C151" s="41"/>
    </row>
  </sheetData>
  <mergeCells count="20">
    <mergeCell ref="A22:D22"/>
    <mergeCell ref="A4:C4"/>
    <mergeCell ref="E10:F10"/>
    <mergeCell ref="A12:D12"/>
    <mergeCell ref="A13:D13"/>
    <mergeCell ref="A14:D14"/>
    <mergeCell ref="A15:D15"/>
    <mergeCell ref="A16:D16"/>
    <mergeCell ref="A17:D17"/>
    <mergeCell ref="A18:D18"/>
    <mergeCell ref="A19:D19"/>
    <mergeCell ref="A20:D20"/>
    <mergeCell ref="G103:G105"/>
    <mergeCell ref="G109:G115"/>
    <mergeCell ref="G56:G61"/>
    <mergeCell ref="G65:G70"/>
    <mergeCell ref="G73:G77"/>
    <mergeCell ref="G80:G86"/>
    <mergeCell ref="G89:G93"/>
    <mergeCell ref="G96:G100"/>
  </mergeCells>
  <pageMargins left="0.75" right="0.75" top="0.51" bottom="0.5" header="0.5" footer="0.5"/>
  <pageSetup paperSize="9" scale="65"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Taloudellinen väliselvitys</vt:lpstr>
      <vt:lpstr>'Taloudellinen väliselvitys'!Tulostusalue</vt:lpstr>
    </vt:vector>
  </TitlesOfParts>
  <Company>Suunnittelukeskus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jani.tulkki@turku.fi</dc:creator>
  <cp:lastModifiedBy>Eteläpää Heli</cp:lastModifiedBy>
  <cp:lastPrinted>2018-12-19T13:57:08Z</cp:lastPrinted>
  <dcterms:created xsi:type="dcterms:W3CDTF">2010-02-25T07:43:29Z</dcterms:created>
  <dcterms:modified xsi:type="dcterms:W3CDTF">2024-11-13T11:06:24Z</dcterms:modified>
</cp:coreProperties>
</file>