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5535" windowWidth="17400" windowHeight="4860" tabRatio="811" activeTab="0"/>
  </bookViews>
  <sheets>
    <sheet name="Erotus 2 TA-ennuste" sheetId="1" r:id="rId1"/>
    <sheet name="Erotus TA-ennuste" sheetId="2" r:id="rId2"/>
    <sheet name="Ennuste 2 ydinprosesseittain " sheetId="3" r:id="rId3"/>
    <sheet name="Ennuste ydinprosesseittain" sheetId="4" r:id="rId4"/>
    <sheet name="TA 2010+MKS+SS" sheetId="5" r:id="rId5"/>
    <sheet name="Joulukuun uusjako" sheetId="6" r:id="rId6"/>
    <sheet name="Tulosal-mom2010" sheetId="7" r:id="rId7"/>
  </sheets>
  <externalReferences>
    <externalReference r:id="rId10"/>
    <externalReference r:id="rId11"/>
    <externalReference r:id="rId12"/>
  </externalReferences>
  <definedNames>
    <definedName name="_xlnm.Print_Area" localSheetId="5">'Joulukuun uusjako'!$A$1:$M$76</definedName>
    <definedName name="_xlnm.Print_Area" localSheetId="4">'TA 2010+MKS+SS'!$A$1:$L$76</definedName>
    <definedName name="_xlnm.Print_Area" localSheetId="6">'Tulosal-mom2010'!$A$1:$M$61</definedName>
  </definedNames>
  <calcPr fullCalcOnLoad="1"/>
</workbook>
</file>

<file path=xl/comments7.xml><?xml version="1.0" encoding="utf-8"?>
<comments xmlns="http://schemas.openxmlformats.org/spreadsheetml/2006/main">
  <authors>
    <author>rpitkaka</author>
  </authors>
  <commentList>
    <comment ref="J13" authorId="0">
      <text>
        <r>
          <rPr>
            <b/>
            <sz val="8"/>
            <rFont val="Tahoma"/>
            <family val="0"/>
          </rPr>
          <t>rpitkaka:</t>
        </r>
        <r>
          <rPr>
            <sz val="8"/>
            <rFont val="Tahoma"/>
            <family val="0"/>
          </rPr>
          <t xml:space="preserve">
Vähennetty mom. 03, 483.000 (13 henkilöä), Luolavuori 400.000 + 100.000 kuuluu mom.02
</t>
        </r>
      </text>
    </comment>
    <comment ref="E23" authorId="0">
      <text>
        <r>
          <rPr>
            <b/>
            <sz val="8"/>
            <rFont val="Tahoma"/>
            <family val="0"/>
          </rPr>
          <t>rpitkaka:</t>
        </r>
        <r>
          <rPr>
            <sz val="8"/>
            <rFont val="Tahoma"/>
            <family val="0"/>
          </rPr>
          <t xml:space="preserve">
Vähennetty 100.000 Luolavuoren vuokra
</t>
        </r>
      </text>
    </comment>
  </commentList>
</comments>
</file>

<file path=xl/sharedStrings.xml><?xml version="1.0" encoding="utf-8"?>
<sst xmlns="http://schemas.openxmlformats.org/spreadsheetml/2006/main" count="635" uniqueCount="103">
  <si>
    <t>Menot yhteensä</t>
  </si>
  <si>
    <t>Tulot yhteensä</t>
  </si>
  <si>
    <t>Netto</t>
  </si>
  <si>
    <t>Menot</t>
  </si>
  <si>
    <t>01 palkat</t>
  </si>
  <si>
    <t>02 henkilösivukulut</t>
  </si>
  <si>
    <t xml:space="preserve">03 henkilöstökorvaukset </t>
  </si>
  <si>
    <t>04 materiaalin ostot</t>
  </si>
  <si>
    <t>05 palvelujen ostot</t>
  </si>
  <si>
    <t>06 asiakaspalvelujen ostot</t>
  </si>
  <si>
    <t>07 vuokrat ja yhtiövastikkeet</t>
  </si>
  <si>
    <t>08 avustukset</t>
  </si>
  <si>
    <t>17 varastojen muutos</t>
  </si>
  <si>
    <t>21 muut menot</t>
  </si>
  <si>
    <t>22 sisäiset vuokrat</t>
  </si>
  <si>
    <t>28 Markkinointi</t>
  </si>
  <si>
    <t>Tulot</t>
  </si>
  <si>
    <t>50 myyntitulot</t>
  </si>
  <si>
    <t>51 maksutulot</t>
  </si>
  <si>
    <t>52 vuokratulot</t>
  </si>
  <si>
    <t>60 tuet ja avustukset</t>
  </si>
  <si>
    <t>61 EU-tuet</t>
  </si>
  <si>
    <t>67 muut tulot</t>
  </si>
  <si>
    <t>68 sisäiset vuokrat</t>
  </si>
  <si>
    <t>76 valmistus omaan käyttöön</t>
  </si>
  <si>
    <t xml:space="preserve">Henkilösivukulut %: </t>
  </si>
  <si>
    <t>JA KOHDISTUMINEN YDINPROSESSEILLE</t>
  </si>
  <si>
    <t xml:space="preserve">1. Lasten ja nuorten kasvun </t>
  </si>
  <si>
    <t>tukeminen</t>
  </si>
  <si>
    <t>3. Itsenäisesti selviytyvien toi-</t>
  </si>
  <si>
    <t>4. Ikäihmisten elämänlaadun</t>
  </si>
  <si>
    <t>2. Nuorten aikuisuuden vah-</t>
  </si>
  <si>
    <t>vistaminen</t>
  </si>
  <si>
    <t>me</t>
  </si>
  <si>
    <t xml:space="preserve">tu </t>
  </si>
  <si>
    <t>ne</t>
  </si>
  <si>
    <t xml:space="preserve">YDINPROSESSIT, JOIHIN TULOSALUEEN TOIMINTA KOHDISTUU </t>
  </si>
  <si>
    <t>2010 TALOUSARVIOEHDOTUS, TULOSYKSIKKÖ 1-TASON MOMENTIT</t>
  </si>
  <si>
    <t>125Peruspalvelu-</t>
  </si>
  <si>
    <t>12510 Peruspalv.</t>
  </si>
  <si>
    <t>ltk ja hallin-</t>
  </si>
  <si>
    <t>topalvelut</t>
  </si>
  <si>
    <t>12520 Sosiaa-</t>
  </si>
  <si>
    <t>lityön pal-</t>
  </si>
  <si>
    <t>velut</t>
  </si>
  <si>
    <t>12530 Perus-</t>
  </si>
  <si>
    <t>terveydenh.</t>
  </si>
  <si>
    <t>palvelut</t>
  </si>
  <si>
    <t>12540 Erikois-</t>
  </si>
  <si>
    <t>palvelua</t>
  </si>
  <si>
    <t>sairaanhoidon</t>
  </si>
  <si>
    <t>12550 Kuntou-</t>
  </si>
  <si>
    <t>tumispal-</t>
  </si>
  <si>
    <t>12560 Vanhus-</t>
  </si>
  <si>
    <t>12570 Ympä-</t>
  </si>
  <si>
    <t>ristötervey-</t>
  </si>
  <si>
    <t>denh.palv.</t>
  </si>
  <si>
    <t>12580 Työ-</t>
  </si>
  <si>
    <t>terveysh.</t>
  </si>
  <si>
    <t>12590 Var-</t>
  </si>
  <si>
    <t>haiskasva-</t>
  </si>
  <si>
    <t xml:space="preserve">12501 Sosiaali- </t>
  </si>
  <si>
    <t>ydinprosessit</t>
  </si>
  <si>
    <t>ja terv.toimen</t>
  </si>
  <si>
    <t xml:space="preserve">Liite 3 </t>
  </si>
  <si>
    <t>tuspalv.</t>
  </si>
  <si>
    <t>Ei uutta</t>
  </si>
  <si>
    <t>Palkat, väh</t>
  </si>
  <si>
    <t>sosm. Väh</t>
  </si>
  <si>
    <t>momentit-TA2010-Yhteenveto7.9.</t>
  </si>
  <si>
    <t>korjattu 15.9.09</t>
  </si>
  <si>
    <t xml:space="preserve">Ydinpros. </t>
  </si>
  <si>
    <t>lautakunta</t>
  </si>
  <si>
    <t>turvaaminen</t>
  </si>
  <si>
    <t>sh22.9.09</t>
  </si>
  <si>
    <t xml:space="preserve"> sl22.9.</t>
  </si>
  <si>
    <t>pp22.9.09</t>
  </si>
  <si>
    <t>jl22.9.09</t>
  </si>
  <si>
    <t>rp22.9.09</t>
  </si>
  <si>
    <t>mintakyvyn varmistaminen</t>
  </si>
  <si>
    <t>Yhteensä ydinprosesseille</t>
  </si>
  <si>
    <t xml:space="preserve">125 PERUSPALVELULAUTAKUNTA, YHTEENVETO </t>
  </si>
  <si>
    <t>tu</t>
  </si>
  <si>
    <t>Perla 30.9.09</t>
  </si>
  <si>
    <t xml:space="preserve">Kv 30.11.09 </t>
  </si>
  <si>
    <t>Erotus</t>
  </si>
  <si>
    <t>+ Perus-IT</t>
  </si>
  <si>
    <t>125 PERUSPALVELULAUTAKUNTA, YHTEENVETO 30.9.09 LISÄTTYNÄ PERUS-IT-MENOT</t>
  </si>
  <si>
    <t>Karsittavaa vielä</t>
  </si>
  <si>
    <t>Palkkoja vähennetty yhteensä 2 156 887 €</t>
  </si>
  <si>
    <t>Perus-It-menot lisätty perlan esitykseen 7 639 296 €</t>
  </si>
  <si>
    <t>tulosalueilta</t>
  </si>
  <si>
    <t>prosesseista</t>
  </si>
  <si>
    <t>sl/pp/jv 10.12.2009</t>
  </si>
  <si>
    <t>Muut vähenny7kset palvelujohtajien9.12. esitysten mukaisesti</t>
  </si>
  <si>
    <t>pp 21.4.2010</t>
  </si>
  <si>
    <t>ENNUSTE 1-3/2010</t>
  </si>
  <si>
    <t>EROTUS TA_KV 301109 -</t>
  </si>
  <si>
    <t>HUOM! ERO ALKUPERÄISEEN</t>
  </si>
  <si>
    <t>TA 2010+MKS+SS</t>
  </si>
  <si>
    <t>EROTUS TA+MKS?SS -</t>
  </si>
  <si>
    <t>ENNUSTE 1-4/2010</t>
  </si>
  <si>
    <t>pp 17.8.2010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</si>
</sst>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_-* #,##0.0\ _m_k_-;\-* #,##0.0\ _m_k_-;_-* &quot;-&quot;??\ _m_k_-;_-@_-"/>
    <numFmt numFmtId="174" formatCode="_-* #,##0\ _m_k_-;\-* #,##0\ _m_k_-;_-* &quot;-&quot;??\ _m_k_-;_-@_-"/>
    <numFmt numFmtId="175" formatCode="#,##0.000"/>
    <numFmt numFmtId="176" formatCode="#,##0.0"/>
    <numFmt numFmtId="177" formatCode="#,##0.0000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 quotePrefix="1">
      <alignment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3" fontId="2" fillId="0" borderId="3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2" fillId="0" borderId="0" xfId="0" applyNumberFormat="1" applyFont="1" applyAlignment="1" quotePrefix="1">
      <alignment horizontal="center"/>
    </xf>
    <xf numFmtId="4" fontId="0" fillId="0" borderId="1" xfId="0" applyNumberFormat="1" applyBorder="1" applyAlignment="1">
      <alignment/>
    </xf>
    <xf numFmtId="3" fontId="6" fillId="0" borderId="0" xfId="0" applyNumberFormat="1" applyFont="1" applyAlignment="1">
      <alignment/>
    </xf>
    <xf numFmtId="3" fontId="6" fillId="0" borderId="1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Alignment="1">
      <alignment/>
    </xf>
    <xf numFmtId="3" fontId="0" fillId="0" borderId="5" xfId="0" applyNumberForma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2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6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 quotePrefix="1">
      <alignment/>
    </xf>
    <xf numFmtId="0" fontId="0" fillId="0" borderId="5" xfId="0" applyBorder="1" applyAlignment="1">
      <alignment/>
    </xf>
    <xf numFmtId="0" fontId="0" fillId="0" borderId="4" xfId="0" applyBorder="1" applyAlignment="1" quotePrefix="1">
      <alignment/>
    </xf>
    <xf numFmtId="0" fontId="2" fillId="0" borderId="5" xfId="0" applyFont="1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 quotePrefix="1">
      <alignment/>
    </xf>
    <xf numFmtId="0" fontId="2" fillId="0" borderId="6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6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0" fillId="0" borderId="0" xfId="0" applyNumberFormat="1" applyAlignment="1" quotePrefix="1">
      <alignment/>
    </xf>
    <xf numFmtId="172" fontId="0" fillId="0" borderId="10" xfId="0" applyNumberForma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1" xfId="0" applyBorder="1" applyAlignment="1" quotePrefix="1">
      <alignment/>
    </xf>
    <xf numFmtId="0" fontId="2" fillId="0" borderId="9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oTe\Taloushallinto\Talousarvio\Talousarvio%202010\Talousarvion%20seuranta%202010\1-3_2010\Liite%201%20Ennuste%20Perlaan%201-3_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oTe\Taloushallinto\Talousarvio\Talousarvio%202010\Talousarvion%20seuranta%202010\1-4_2010\Liite%201%20Ennuste%20Perlaan%201-4_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helajar\Local%20Settings\Temporary%20Internet%20Files\OLK3B6\Liite%201%20Ennuste%20Perlaan%201-7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losalueet "/>
    </sheetNames>
    <sheetDataSet>
      <sheetData sheetId="0">
        <row r="7">
          <cell r="G7">
            <v>69063674.94</v>
          </cell>
        </row>
        <row r="8">
          <cell r="G8">
            <v>4079878</v>
          </cell>
        </row>
        <row r="10">
          <cell r="G10">
            <v>90018192</v>
          </cell>
        </row>
        <row r="11">
          <cell r="G11">
            <v>19655725</v>
          </cell>
        </row>
        <row r="13">
          <cell r="G13">
            <v>49966361.013485335</v>
          </cell>
        </row>
        <row r="14">
          <cell r="G14">
            <v>8270140.595392439</v>
          </cell>
        </row>
        <row r="16">
          <cell r="G16">
            <v>181536290.85</v>
          </cell>
        </row>
        <row r="17">
          <cell r="G17">
            <v>4098100</v>
          </cell>
        </row>
        <row r="22">
          <cell r="G22">
            <v>54085910.92788593</v>
          </cell>
        </row>
        <row r="23">
          <cell r="G23">
            <v>4647277.069781186</v>
          </cell>
        </row>
        <row r="28">
          <cell r="G28">
            <v>136652984.59670004</v>
          </cell>
        </row>
        <row r="29">
          <cell r="G29">
            <v>30268166.7146</v>
          </cell>
        </row>
        <row r="31">
          <cell r="G31">
            <v>1285670.7702000001</v>
          </cell>
        </row>
        <row r="32">
          <cell r="G32">
            <v>282000</v>
          </cell>
        </row>
        <row r="34">
          <cell r="G34">
            <v>5931125.512060036</v>
          </cell>
        </row>
        <row r="35">
          <cell r="G35">
            <v>5759813.576100668</v>
          </cell>
        </row>
        <row r="37">
          <cell r="G37">
            <v>67600781</v>
          </cell>
        </row>
        <row r="38">
          <cell r="G38">
            <v>8681154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ulosalueet "/>
    </sheetNames>
    <sheetDataSet>
      <sheetData sheetId="0">
        <row r="14">
          <cell r="G14">
            <v>8430985.410713082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ulosalueet "/>
    </sheetNames>
    <sheetDataSet>
      <sheetData sheetId="0">
        <row r="6">
          <cell r="G6">
            <v>62243735.260000005</v>
          </cell>
        </row>
        <row r="7">
          <cell r="G7">
            <v>4934878</v>
          </cell>
        </row>
        <row r="9">
          <cell r="G9">
            <v>92526750.00430001</v>
          </cell>
        </row>
        <row r="10">
          <cell r="G10">
            <v>19510362.13003891</v>
          </cell>
        </row>
        <row r="12">
          <cell r="G12">
            <v>50563566.04390218</v>
          </cell>
        </row>
        <row r="13">
          <cell r="G13">
            <v>8906395.35</v>
          </cell>
        </row>
        <row r="15">
          <cell r="G15">
            <v>184788007</v>
          </cell>
        </row>
        <row r="16">
          <cell r="G16">
            <v>4340932.31</v>
          </cell>
        </row>
        <row r="21">
          <cell r="G21">
            <v>54538301.53633187</v>
          </cell>
        </row>
        <row r="22">
          <cell r="G22">
            <v>4435263.539781187</v>
          </cell>
        </row>
        <row r="27">
          <cell r="G27">
            <v>140251982.15740004</v>
          </cell>
        </row>
        <row r="28">
          <cell r="G28">
            <v>33387594.978499997</v>
          </cell>
        </row>
        <row r="30">
          <cell r="G30">
            <v>1285705</v>
          </cell>
        </row>
        <row r="31">
          <cell r="G31">
            <v>282000</v>
          </cell>
        </row>
        <row r="33">
          <cell r="G33">
            <v>5946715.656341317</v>
          </cell>
        </row>
        <row r="34">
          <cell r="G34">
            <v>5776156.82240542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tabSelected="1" workbookViewId="0" topLeftCell="A1">
      <selection activeCell="D8" sqref="D8"/>
    </sheetView>
  </sheetViews>
  <sheetFormatPr defaultColWidth="9.140625" defaultRowHeight="12.75"/>
  <cols>
    <col min="1" max="1" width="28.28125" style="0" customWidth="1"/>
    <col min="2" max="2" width="5.7109375" style="0" customWidth="1"/>
    <col min="3" max="11" width="15.7109375" style="0" customWidth="1"/>
  </cols>
  <sheetData>
    <row r="2" ht="12.75">
      <c r="C2" s="4" t="s">
        <v>102</v>
      </c>
    </row>
    <row r="3" spans="1:11" ht="12.75">
      <c r="A3" s="57" t="s">
        <v>36</v>
      </c>
      <c r="B3" s="76"/>
      <c r="C3" s="40"/>
      <c r="D3" s="40"/>
      <c r="E3" s="70"/>
      <c r="F3" s="71"/>
      <c r="G3" s="72"/>
      <c r="H3" s="71"/>
      <c r="I3" s="65"/>
      <c r="J3" s="73"/>
      <c r="K3" s="40"/>
    </row>
    <row r="4" spans="1:11" ht="12.75">
      <c r="A4" s="57"/>
      <c r="B4" s="77"/>
      <c r="C4" s="13" t="s">
        <v>38</v>
      </c>
      <c r="D4" s="31" t="s">
        <v>39</v>
      </c>
      <c r="E4" s="31" t="s">
        <v>42</v>
      </c>
      <c r="F4" s="74" t="s">
        <v>45</v>
      </c>
      <c r="G4" s="31" t="s">
        <v>48</v>
      </c>
      <c r="H4" s="74" t="s">
        <v>51</v>
      </c>
      <c r="I4" s="31" t="s">
        <v>53</v>
      </c>
      <c r="J4" s="75" t="s">
        <v>54</v>
      </c>
      <c r="K4" s="13" t="s">
        <v>57</v>
      </c>
    </row>
    <row r="5" spans="1:11" ht="12.75">
      <c r="A5" s="57" t="s">
        <v>100</v>
      </c>
      <c r="B5" s="77"/>
      <c r="C5" s="13" t="s">
        <v>72</v>
      </c>
      <c r="D5" s="32" t="s">
        <v>40</v>
      </c>
      <c r="E5" s="13" t="s">
        <v>43</v>
      </c>
      <c r="F5" s="12" t="s">
        <v>46</v>
      </c>
      <c r="G5" s="13" t="s">
        <v>50</v>
      </c>
      <c r="H5" s="12" t="s">
        <v>52</v>
      </c>
      <c r="I5" s="13" t="s">
        <v>47</v>
      </c>
      <c r="J5" s="12" t="s">
        <v>55</v>
      </c>
      <c r="K5" s="13" t="s">
        <v>58</v>
      </c>
    </row>
    <row r="6" spans="1:11" ht="12.75">
      <c r="A6" s="61" t="s">
        <v>101</v>
      </c>
      <c r="B6" s="78"/>
      <c r="C6" s="47"/>
      <c r="D6" s="49" t="s">
        <v>41</v>
      </c>
      <c r="E6" s="50" t="s">
        <v>44</v>
      </c>
      <c r="F6" s="50" t="s">
        <v>47</v>
      </c>
      <c r="G6" s="50" t="s">
        <v>49</v>
      </c>
      <c r="H6" s="29" t="s">
        <v>44</v>
      </c>
      <c r="I6" s="50"/>
      <c r="J6" s="29" t="s">
        <v>56</v>
      </c>
      <c r="K6" s="50" t="s">
        <v>47</v>
      </c>
    </row>
    <row r="7" spans="1:11" ht="12.75">
      <c r="A7" s="60"/>
      <c r="B7" s="79"/>
      <c r="C7" s="25"/>
      <c r="D7" s="15"/>
      <c r="E7" s="2"/>
      <c r="F7" s="45"/>
      <c r="G7" s="2"/>
      <c r="H7" s="45"/>
      <c r="I7" s="2"/>
      <c r="J7" s="26"/>
      <c r="K7" s="15"/>
    </row>
    <row r="8" spans="1:11" ht="12.75">
      <c r="A8" s="57" t="s">
        <v>27</v>
      </c>
      <c r="B8" s="13" t="s">
        <v>33</v>
      </c>
      <c r="C8" s="14">
        <f>SUM(D8:K8)</f>
        <v>-2253391.0071845734</v>
      </c>
      <c r="D8" s="33">
        <f>'TA 2010+MKS+SS'!E42-'Ennuste 2 ydinprosesseittain '!D8</f>
        <v>-313262.0423090942</v>
      </c>
      <c r="E8" s="33">
        <f>'TA 2010+MKS+SS'!F42-'Ennuste 2 ydinprosesseittain '!E8</f>
        <v>-1363516.4709562734</v>
      </c>
      <c r="F8" s="33">
        <f>'TA 2010+MKS+SS'!G42-'Ennuste 2 ydinprosesseittain '!F8</f>
        <v>-255734.96961928904</v>
      </c>
      <c r="G8" s="33">
        <f>'TA 2010+MKS+SS'!H42-'Ennuste 2 ydinprosesseittain '!G8</f>
        <v>-249324.5239546392</v>
      </c>
      <c r="H8" s="33">
        <f>'TA 2010+MKS+SS'!I42-'Ennuste 2 ydinprosesseittain '!H8</f>
        <v>-71553.0003452776</v>
      </c>
      <c r="I8" s="33">
        <f>'TA 2010+MKS+SS'!J42-'Ennuste 2 ydinprosesseittain '!I8</f>
        <v>0</v>
      </c>
      <c r="J8" s="33">
        <f>'TA 2010+MKS+SS'!K42-'Ennuste 2 ydinprosesseittain '!J8</f>
        <v>0</v>
      </c>
      <c r="K8" s="33">
        <f>'TA 2010+MKS+SS'!L42-'Ennuste 2 ydinprosesseittain '!K8</f>
        <v>0</v>
      </c>
    </row>
    <row r="9" spans="1:11" ht="12.75">
      <c r="A9" s="57" t="s">
        <v>28</v>
      </c>
      <c r="B9" s="13" t="s">
        <v>34</v>
      </c>
      <c r="C9" s="14">
        <f>SUM(D9:K9)</f>
        <v>-552085.2188856894</v>
      </c>
      <c r="D9" s="33">
        <f>'TA 2010+MKS+SS'!E43-'Ennuste 2 ydinprosesseittain '!D9</f>
        <v>-615206.592</v>
      </c>
      <c r="E9" s="33">
        <f>'TA 2010+MKS+SS'!F43-'Ennuste 2 ydinprosesseittain '!E9</f>
        <v>54409.32322513219</v>
      </c>
      <c r="F9" s="33">
        <f>'TA 2010+MKS+SS'!G43-'Ennuste 2 ydinprosesseittain '!F9</f>
        <v>0</v>
      </c>
      <c r="G9" s="33">
        <f>'TA 2010+MKS+SS'!H43-'Ennuste 2 ydinprosesseittain '!G9</f>
        <v>-10194.404492455884</v>
      </c>
      <c r="H9" s="33">
        <f>'TA 2010+MKS+SS'!I43-'Ennuste 2 ydinprosesseittain '!H9</f>
        <v>18906.45438163422</v>
      </c>
      <c r="I9" s="33">
        <f>'TA 2010+MKS+SS'!J43-'Ennuste 2 ydinprosesseittain '!I9</f>
        <v>0</v>
      </c>
      <c r="J9" s="33">
        <f>'TA 2010+MKS+SS'!K43-'Ennuste 2 ydinprosesseittain '!J9</f>
        <v>0</v>
      </c>
      <c r="K9" s="33">
        <f>'TA 2010+MKS+SS'!L43-'Ennuste 2 ydinprosesseittain '!K9</f>
        <v>0</v>
      </c>
    </row>
    <row r="10" spans="1:11" ht="12.75">
      <c r="A10" s="61"/>
      <c r="B10" s="50" t="s">
        <v>35</v>
      </c>
      <c r="C10" s="17">
        <f aca="true" t="shared" si="0" ref="C10:K10">+C8-C9</f>
        <v>-1701305.788298884</v>
      </c>
      <c r="D10" s="44">
        <f t="shared" si="0"/>
        <v>301944.5496909057</v>
      </c>
      <c r="E10" s="44">
        <f t="shared" si="0"/>
        <v>-1417925.7941814056</v>
      </c>
      <c r="F10" s="44">
        <f t="shared" si="0"/>
        <v>-255734.96961928904</v>
      </c>
      <c r="G10" s="44">
        <f t="shared" si="0"/>
        <v>-239130.11946218333</v>
      </c>
      <c r="H10" s="44">
        <f t="shared" si="0"/>
        <v>-90459.45472691182</v>
      </c>
      <c r="I10" s="44">
        <f t="shared" si="0"/>
        <v>0</v>
      </c>
      <c r="J10" s="44">
        <f t="shared" si="0"/>
        <v>0</v>
      </c>
      <c r="K10" s="44">
        <f t="shared" si="0"/>
        <v>0</v>
      </c>
    </row>
    <row r="11" spans="1:11" ht="12.75">
      <c r="A11" s="57"/>
      <c r="B11" s="13"/>
      <c r="C11" s="14"/>
      <c r="D11" s="33"/>
      <c r="E11" s="33"/>
      <c r="F11" s="33"/>
      <c r="G11" s="33"/>
      <c r="H11" s="33"/>
      <c r="I11" s="33"/>
      <c r="J11" s="33"/>
      <c r="K11" s="33"/>
    </row>
    <row r="12" spans="1:11" ht="12.75">
      <c r="A12" s="57" t="s">
        <v>31</v>
      </c>
      <c r="B12" s="13" t="s">
        <v>33</v>
      </c>
      <c r="C12" s="14">
        <f>SUM(D12:K12)</f>
        <v>-757140.7122433748</v>
      </c>
      <c r="D12" s="33">
        <f>'TA 2010+MKS+SS'!E46-'Ennuste 2 ydinprosesseittain '!D12</f>
        <v>-73721.83195778402</v>
      </c>
      <c r="E12" s="33">
        <f>'TA 2010+MKS+SS'!F46-'Ennuste 2 ydinprosesseittain '!E12</f>
        <v>-361284.17200473696</v>
      </c>
      <c r="F12" s="33">
        <f>'TA 2010+MKS+SS'!G46-'Ennuste 2 ydinprosesseittain '!F12</f>
        <v>-104410.31952038035</v>
      </c>
      <c r="G12" s="33">
        <f>'TA 2010+MKS+SS'!H46-'Ennuste 2 ydinprosesseittain '!G12</f>
        <v>-183981.61387560517</v>
      </c>
      <c r="H12" s="33">
        <f>'TA 2010+MKS+SS'!I46-'Ennuste 2 ydinprosesseittain '!H12</f>
        <v>-63573.65154625103</v>
      </c>
      <c r="I12" s="33">
        <f>'TA 2010+MKS+SS'!J46-'Ennuste 2 ydinprosesseittain '!I12</f>
        <v>0</v>
      </c>
      <c r="J12" s="33">
        <f>'TA 2010+MKS+SS'!K46-'Ennuste 2 ydinprosesseittain '!J12</f>
        <v>0</v>
      </c>
      <c r="K12" s="33">
        <f>'TA 2010+MKS+SS'!L46-'Ennuste 2 ydinprosesseittain '!K12</f>
        <v>29830.876661382732</v>
      </c>
    </row>
    <row r="13" spans="1:11" ht="12.75">
      <c r="A13" s="57" t="s">
        <v>32</v>
      </c>
      <c r="B13" s="13" t="s">
        <v>34</v>
      </c>
      <c r="C13" s="14">
        <f>SUM(D13:K13)</f>
        <v>-156914.7905217194</v>
      </c>
      <c r="D13" s="33">
        <f>'TA 2010+MKS+SS'!E47-'Ennuste 2 ydinprosesseittain '!D13</f>
        <v>-133491.072</v>
      </c>
      <c r="E13" s="33">
        <f>'TA 2010+MKS+SS'!F47-'Ennuste 2 ydinprosesseittain '!E13</f>
        <v>14245.560891336529</v>
      </c>
      <c r="F13" s="33">
        <f>'TA 2010+MKS+SS'!G47-'Ennuste 2 ydinprosesseittain '!F13</f>
        <v>-71132.55079680565</v>
      </c>
      <c r="G13" s="33">
        <f>'TA 2010+MKS+SS'!H47-'Ennuste 2 ydinprosesseittain '!G13</f>
        <v>-17533.967030472617</v>
      </c>
      <c r="H13" s="33">
        <f>'TA 2010+MKS+SS'!I47-'Ennuste 2 ydinprosesseittain '!H13</f>
        <v>19633.525147589564</v>
      </c>
      <c r="I13" s="33">
        <f>'TA 2010+MKS+SS'!J47-'Ennuste 2 ydinprosesseittain '!I13</f>
        <v>0</v>
      </c>
      <c r="J13" s="33">
        <f>'TA 2010+MKS+SS'!K47-'Ennuste 2 ydinprosesseittain '!J13</f>
        <v>0</v>
      </c>
      <c r="K13" s="33">
        <f>'TA 2010+MKS+SS'!L47-'Ennuste 2 ydinprosesseittain '!K13</f>
        <v>31363.713266632752</v>
      </c>
    </row>
    <row r="14" spans="1:11" ht="12.75">
      <c r="A14" s="61"/>
      <c r="B14" s="50" t="s">
        <v>35</v>
      </c>
      <c r="C14" s="17">
        <f>+C12-C13</f>
        <v>-600225.9217216554</v>
      </c>
      <c r="D14" s="44">
        <f aca="true" t="shared" si="1" ref="D14:K14">D12-D13</f>
        <v>59769.24004221597</v>
      </c>
      <c r="E14" s="44">
        <f t="shared" si="1"/>
        <v>-375529.7328960735</v>
      </c>
      <c r="F14" s="44">
        <f t="shared" si="1"/>
        <v>-33277.7687235747</v>
      </c>
      <c r="G14" s="44">
        <f t="shared" si="1"/>
        <v>-166447.64684513255</v>
      </c>
      <c r="H14" s="44">
        <f t="shared" si="1"/>
        <v>-83207.17669384059</v>
      </c>
      <c r="I14" s="44">
        <f t="shared" si="1"/>
        <v>0</v>
      </c>
      <c r="J14" s="44">
        <f t="shared" si="1"/>
        <v>0</v>
      </c>
      <c r="K14" s="44">
        <f t="shared" si="1"/>
        <v>-1532.8366052500205</v>
      </c>
    </row>
    <row r="15" spans="1:11" ht="12.75">
      <c r="A15" s="57"/>
      <c r="B15" s="13"/>
      <c r="C15" s="14"/>
      <c r="D15" s="33"/>
      <c r="E15" s="33"/>
      <c r="F15" s="33"/>
      <c r="G15" s="33"/>
      <c r="H15" s="33"/>
      <c r="I15" s="33"/>
      <c r="J15" s="33"/>
      <c r="K15" s="33"/>
    </row>
    <row r="16" spans="1:11" ht="12.75">
      <c r="A16" s="57" t="s">
        <v>29</v>
      </c>
      <c r="B16" s="13" t="s">
        <v>33</v>
      </c>
      <c r="C16" s="14">
        <f>SUM(D16:K16)</f>
        <v>-4425493.637378833</v>
      </c>
      <c r="D16" s="33">
        <f>'TA 2010+MKS+SS'!E50-'Ennuste 2 ydinprosesseittain '!D16</f>
        <v>-433107.6867893487</v>
      </c>
      <c r="E16" s="33">
        <f>'TA 2010+MKS+SS'!F50-'Ennuste 2 ydinprosesseittain '!E16</f>
        <v>-1780607.0969824418</v>
      </c>
      <c r="F16" s="33">
        <f>'TA 2010+MKS+SS'!G50-'Ennuste 2 ydinprosesseittain '!F16</f>
        <v>-452350.8586786166</v>
      </c>
      <c r="G16" s="33">
        <f>'TA 2010+MKS+SS'!H50-'Ennuste 2 ydinprosesseittain '!G16</f>
        <v>-1562583.6783383489</v>
      </c>
      <c r="H16" s="33">
        <f>'TA 2010+MKS+SS'!I50-'Ennuste 2 ydinprosesseittain '!H16</f>
        <v>-264017.0879481733</v>
      </c>
      <c r="I16" s="33">
        <f>'TA 2010+MKS+SS'!J50-'Ennuste 2 ydinprosesseittain '!I16</f>
        <v>-214557.6956392047</v>
      </c>
      <c r="J16" s="33">
        <f>'TA 2010+MKS+SS'!K50-'Ennuste 2 ydinprosesseittain '!J16</f>
        <v>28966</v>
      </c>
      <c r="K16" s="33">
        <f>'TA 2010+MKS+SS'!L50-'Ennuste 2 ydinprosesseittain '!K16</f>
        <v>252764.46699730027</v>
      </c>
    </row>
    <row r="17" spans="1:11" ht="12.75">
      <c r="A17" s="57" t="s">
        <v>79</v>
      </c>
      <c r="B17" s="13" t="s">
        <v>34</v>
      </c>
      <c r="C17" s="14">
        <f>SUM(D17:K17)</f>
        <v>-1283945.7702818976</v>
      </c>
      <c r="D17" s="33">
        <f>'TA 2010+MKS+SS'!E51-'Ennuste 2 ydinprosesseittain '!D17</f>
        <v>-1015377.7919999997</v>
      </c>
      <c r="E17" s="33">
        <f>'TA 2010+MKS+SS'!F51-'Ennuste 2 ydinprosesseittain '!E17</f>
        <v>71474.92331398465</v>
      </c>
      <c r="F17" s="33">
        <f>'TA 2010+MKS+SS'!G51-'Ennuste 2 ydinprosesseittain '!F17</f>
        <v>-872620.2484063888</v>
      </c>
      <c r="G17" s="33">
        <f>'TA 2010+MKS+SS'!H51-'Ennuste 2 ydinprosesseittain '!G17</f>
        <v>-115507.86285632313</v>
      </c>
      <c r="H17" s="33">
        <f>'TA 2010+MKS+SS'!I51-'Ennuste 2 ydinprosesseittain '!H17</f>
        <v>490021.3769303821</v>
      </c>
      <c r="I17" s="33">
        <f>'TA 2010+MKS+SS'!J51-'Ennuste 2 ydinprosesseittain '!I17</f>
        <v>-74915.63159150002</v>
      </c>
      <c r="J17" s="33">
        <f>'TA 2010+MKS+SS'!K51-'Ennuste 2 ydinprosesseittain '!J17</f>
        <v>-42900</v>
      </c>
      <c r="K17" s="33">
        <f>'TA 2010+MKS+SS'!L51-'Ennuste 2 ydinprosesseittain '!K17</f>
        <v>275879.46432794724</v>
      </c>
    </row>
    <row r="18" spans="1:11" ht="12.75">
      <c r="A18" s="61"/>
      <c r="B18" s="50" t="s">
        <v>35</v>
      </c>
      <c r="C18" s="17">
        <f>+C16-C17</f>
        <v>-3141547.8670969354</v>
      </c>
      <c r="D18" s="44">
        <f aca="true" t="shared" si="2" ref="D18:K18">D16-D17</f>
        <v>582270.105210651</v>
      </c>
      <c r="E18" s="44">
        <f t="shared" si="2"/>
        <v>-1852082.0202964265</v>
      </c>
      <c r="F18" s="44">
        <f t="shared" si="2"/>
        <v>420269.3897277722</v>
      </c>
      <c r="G18" s="44">
        <f t="shared" si="2"/>
        <v>-1447075.8154820257</v>
      </c>
      <c r="H18" s="44">
        <f t="shared" si="2"/>
        <v>-754038.4648785554</v>
      </c>
      <c r="I18" s="44">
        <f t="shared" si="2"/>
        <v>-139642.06404770468</v>
      </c>
      <c r="J18" s="44">
        <f t="shared" si="2"/>
        <v>71866</v>
      </c>
      <c r="K18" s="44">
        <f t="shared" si="2"/>
        <v>-23114.997330646962</v>
      </c>
    </row>
    <row r="19" spans="1:11" ht="12.75">
      <c r="A19" s="57"/>
      <c r="B19" s="13"/>
      <c r="C19" s="14"/>
      <c r="D19" s="33"/>
      <c r="E19" s="33"/>
      <c r="F19" s="33"/>
      <c r="G19" s="33"/>
      <c r="H19" s="33"/>
      <c r="I19" s="33"/>
      <c r="J19" s="33"/>
      <c r="K19" s="33"/>
    </row>
    <row r="20" spans="1:11" ht="12.75">
      <c r="A20" s="57" t="s">
        <v>30</v>
      </c>
      <c r="B20" s="13" t="s">
        <v>33</v>
      </c>
      <c r="C20" s="14">
        <f>SUM(D20:K20)</f>
        <v>-9492424.301468655</v>
      </c>
      <c r="D20" s="33">
        <f>'TA 2010+MKS+SS'!E54-'Ennuste 2 ydinprosesseittain '!D20</f>
        <v>-537835.6989437826</v>
      </c>
      <c r="E20" s="33">
        <f>'TA 2010+MKS+SS'!F54-'Ennuste 2 ydinprosesseittain '!E20</f>
        <v>-131898.2643565638</v>
      </c>
      <c r="F20" s="33">
        <f>'TA 2010+MKS+SS'!G54-'Ennuste 2 ydinprosesseittain '!F20</f>
        <v>-202467.89608389512</v>
      </c>
      <c r="G20" s="33">
        <f>'TA 2010+MKS+SS'!H54-'Ennuste 2 ydinprosesseittain '!G20</f>
        <v>-1368070.1838314086</v>
      </c>
      <c r="H20" s="33">
        <f>'TA 2010+MKS+SS'!I54-'Ennuste 2 ydinprosesseittain '!H20</f>
        <v>-126929.7964921575</v>
      </c>
      <c r="I20" s="33">
        <f>'TA 2010+MKS+SS'!J54-'Ennuste 2 ydinprosesseittain '!I20</f>
        <v>-7125222.461760849</v>
      </c>
      <c r="J20" s="33">
        <f>'TA 2010+MKS+SS'!K54-'Ennuste 2 ydinprosesseittain '!J20</f>
        <v>0</v>
      </c>
      <c r="K20" s="33">
        <f>'TA 2010+MKS+SS'!L54-'Ennuste 2 ydinprosesseittain '!K20</f>
        <v>0</v>
      </c>
    </row>
    <row r="21" spans="1:11" ht="12.75">
      <c r="A21" s="57" t="s">
        <v>73</v>
      </c>
      <c r="B21" s="13" t="s">
        <v>34</v>
      </c>
      <c r="C21" s="14">
        <f>SUM(D21:K21)</f>
        <v>-5319817.351036204</v>
      </c>
      <c r="D21" s="33">
        <f>'TA 2010+MKS+SS'!E55-'Ennuste 2 ydinprosesseittain '!D21</f>
        <v>-1256084.544</v>
      </c>
      <c r="E21" s="33">
        <f>'TA 2010+MKS+SS'!F55-'Ennuste 2 ydinprosesseittain '!E21</f>
        <v>5233.062530637486</v>
      </c>
      <c r="F21" s="33">
        <f>'TA 2010+MKS+SS'!G55-'Ennuste 2 ydinprosesseittain '!F21</f>
        <v>-71132.55079680565</v>
      </c>
      <c r="G21" s="33">
        <f>'TA 2010+MKS+SS'!H55-'Ennuste 2 ydinprosesseittain '!G21</f>
        <v>-179996.0756207481</v>
      </c>
      <c r="H21" s="33">
        <f>'TA 2010+MKS+SS'!I55-'Ennuste 2 ydinprosesseittain '!H21</f>
        <v>50175.1037592105</v>
      </c>
      <c r="I21" s="33">
        <f>'TA 2010+MKS+SS'!J55-'Ennuste 2 ydinprosesseittain '!I21</f>
        <v>-3868012.3469084986</v>
      </c>
      <c r="J21" s="33">
        <f>'TA 2010+MKS+SS'!K55-'Ennuste 2 ydinprosesseittain '!J21</f>
        <v>0</v>
      </c>
      <c r="K21" s="33">
        <f>'TA 2010+MKS+SS'!L55-'Ennuste 2 ydinprosesseittain '!K21</f>
        <v>0</v>
      </c>
    </row>
    <row r="22" spans="1:11" ht="12.75">
      <c r="A22" s="61"/>
      <c r="B22" s="50" t="s">
        <v>35</v>
      </c>
      <c r="C22" s="17">
        <f>+C20-C21</f>
        <v>-4172606.9504324514</v>
      </c>
      <c r="D22" s="44">
        <f aca="true" t="shared" si="3" ref="D22:K22">D20-D21</f>
        <v>718248.8450562174</v>
      </c>
      <c r="E22" s="44">
        <f t="shared" si="3"/>
        <v>-137131.32688720128</v>
      </c>
      <c r="F22" s="44">
        <f t="shared" si="3"/>
        <v>-131335.34528708947</v>
      </c>
      <c r="G22" s="44">
        <f t="shared" si="3"/>
        <v>-1188074.1082106605</v>
      </c>
      <c r="H22" s="44">
        <f t="shared" si="3"/>
        <v>-177104.900251368</v>
      </c>
      <c r="I22" s="44">
        <f t="shared" si="3"/>
        <v>-3257210.11485235</v>
      </c>
      <c r="J22" s="44">
        <f t="shared" si="3"/>
        <v>0</v>
      </c>
      <c r="K22" s="44">
        <f t="shared" si="3"/>
        <v>0</v>
      </c>
    </row>
    <row r="23" spans="1:11" ht="12.75">
      <c r="A23" s="57"/>
      <c r="B23" s="13"/>
      <c r="C23" s="14"/>
      <c r="D23" s="24"/>
      <c r="E23" s="24"/>
      <c r="F23" s="24"/>
      <c r="G23" s="24"/>
      <c r="H23" s="24"/>
      <c r="I23" s="24"/>
      <c r="J23" s="24"/>
      <c r="K23" s="23"/>
    </row>
    <row r="24" spans="1:11" ht="12.75">
      <c r="A24" s="57" t="s">
        <v>80</v>
      </c>
      <c r="B24" s="13" t="s">
        <v>33</v>
      </c>
      <c r="C24" s="14">
        <f aca="true" t="shared" si="4" ref="C24:K24">+C8+C12+C16+C20</f>
        <v>-16928449.658275437</v>
      </c>
      <c r="D24" s="14">
        <f t="shared" si="4"/>
        <v>-1357927.2600000096</v>
      </c>
      <c r="E24" s="14">
        <f t="shared" si="4"/>
        <v>-3637306.004300016</v>
      </c>
      <c r="F24" s="14">
        <f t="shared" si="4"/>
        <v>-1014964.0439021811</v>
      </c>
      <c r="G24" s="14">
        <f t="shared" si="4"/>
        <v>-3363960.000000002</v>
      </c>
      <c r="H24" s="14">
        <f t="shared" si="4"/>
        <v>-526073.5363318594</v>
      </c>
      <c r="I24" s="14">
        <f t="shared" si="4"/>
        <v>-7339780.157400053</v>
      </c>
      <c r="J24" s="14">
        <f t="shared" si="4"/>
        <v>28966</v>
      </c>
      <c r="K24" s="14">
        <f t="shared" si="4"/>
        <v>282595.343658683</v>
      </c>
    </row>
    <row r="25" spans="1:11" ht="12.75">
      <c r="A25" s="56"/>
      <c r="B25" s="13" t="s">
        <v>34</v>
      </c>
      <c r="C25" s="14">
        <f aca="true" t="shared" si="5" ref="C25:K25">+C9+C13+C17+C21</f>
        <v>-7312763.13072551</v>
      </c>
      <c r="D25" s="14">
        <f t="shared" si="5"/>
        <v>-3020159.9999999995</v>
      </c>
      <c r="E25" s="14">
        <f t="shared" si="5"/>
        <v>145362.86996109085</v>
      </c>
      <c r="F25" s="14">
        <f t="shared" si="5"/>
        <v>-1014885.3500000001</v>
      </c>
      <c r="G25" s="14">
        <f t="shared" si="5"/>
        <v>-323232.3099999997</v>
      </c>
      <c r="H25" s="14">
        <f t="shared" si="5"/>
        <v>578736.4602188163</v>
      </c>
      <c r="I25" s="14">
        <f t="shared" si="5"/>
        <v>-3942927.9784999983</v>
      </c>
      <c r="J25" s="14">
        <f t="shared" si="5"/>
        <v>-42900</v>
      </c>
      <c r="K25" s="14">
        <f t="shared" si="5"/>
        <v>307243.17759458</v>
      </c>
    </row>
    <row r="26" spans="1:11" ht="12.75">
      <c r="A26" s="59"/>
      <c r="B26" s="50" t="s">
        <v>35</v>
      </c>
      <c r="C26" s="17">
        <f aca="true" t="shared" si="6" ref="C26:K26">+C24-C25</f>
        <v>-9615686.527549926</v>
      </c>
      <c r="D26" s="17">
        <f t="shared" si="6"/>
        <v>1662232.73999999</v>
      </c>
      <c r="E26" s="17">
        <f t="shared" si="6"/>
        <v>-3782668.874261107</v>
      </c>
      <c r="F26" s="17">
        <f t="shared" si="6"/>
        <v>-78.69390218099579</v>
      </c>
      <c r="G26" s="17">
        <f t="shared" si="6"/>
        <v>-3040727.6900000023</v>
      </c>
      <c r="H26" s="17">
        <f t="shared" si="6"/>
        <v>-1104809.9965506757</v>
      </c>
      <c r="I26" s="17">
        <f t="shared" si="6"/>
        <v>-3396852.1789000547</v>
      </c>
      <c r="J26" s="17">
        <f t="shared" si="6"/>
        <v>71866</v>
      </c>
      <c r="K26" s="17">
        <f t="shared" si="6"/>
        <v>-24647.833935896982</v>
      </c>
    </row>
  </sheetData>
  <printOptions/>
  <pageMargins left="0.75" right="0.75" top="1" bottom="1" header="0.4921259845" footer="0.4921259845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6"/>
  <sheetViews>
    <sheetView workbookViewId="0" topLeftCell="A1">
      <selection activeCell="D8" sqref="D8"/>
    </sheetView>
  </sheetViews>
  <sheetFormatPr defaultColWidth="9.140625" defaultRowHeight="12.75"/>
  <cols>
    <col min="1" max="1" width="28.28125" style="0" customWidth="1"/>
    <col min="2" max="2" width="5.7109375" style="0" customWidth="1"/>
    <col min="3" max="12" width="15.7109375" style="0" customWidth="1"/>
  </cols>
  <sheetData>
    <row r="2" ht="12.75">
      <c r="C2" t="s">
        <v>95</v>
      </c>
    </row>
    <row r="3" spans="1:12" ht="12.75">
      <c r="A3" s="57" t="s">
        <v>36</v>
      </c>
      <c r="B3" s="76"/>
      <c r="C3" s="40"/>
      <c r="D3" s="40"/>
      <c r="E3" s="70"/>
      <c r="F3" s="71"/>
      <c r="G3" s="72"/>
      <c r="H3" s="71"/>
      <c r="I3" s="65"/>
      <c r="J3" s="73"/>
      <c r="K3" s="73"/>
      <c r="L3" s="40"/>
    </row>
    <row r="4" spans="1:12" ht="12.75">
      <c r="A4" s="57" t="s">
        <v>98</v>
      </c>
      <c r="B4" s="77"/>
      <c r="C4" s="13" t="s">
        <v>38</v>
      </c>
      <c r="D4" s="31" t="s">
        <v>39</v>
      </c>
      <c r="E4" s="31" t="s">
        <v>42</v>
      </c>
      <c r="F4" s="74" t="s">
        <v>45</v>
      </c>
      <c r="G4" s="31" t="s">
        <v>48</v>
      </c>
      <c r="H4" s="74" t="s">
        <v>51</v>
      </c>
      <c r="I4" s="31" t="s">
        <v>53</v>
      </c>
      <c r="J4" s="75" t="s">
        <v>54</v>
      </c>
      <c r="K4" s="13" t="s">
        <v>57</v>
      </c>
      <c r="L4" s="13" t="s">
        <v>59</v>
      </c>
    </row>
    <row r="5" spans="1:12" ht="12.75">
      <c r="A5" s="57" t="s">
        <v>97</v>
      </c>
      <c r="B5" s="77"/>
      <c r="C5" s="13" t="s">
        <v>72</v>
      </c>
      <c r="D5" s="32" t="s">
        <v>40</v>
      </c>
      <c r="E5" s="13" t="s">
        <v>43</v>
      </c>
      <c r="F5" s="12" t="s">
        <v>46</v>
      </c>
      <c r="G5" s="13" t="s">
        <v>50</v>
      </c>
      <c r="H5" s="12" t="s">
        <v>52</v>
      </c>
      <c r="I5" s="13" t="s">
        <v>47</v>
      </c>
      <c r="J5" s="12" t="s">
        <v>55</v>
      </c>
      <c r="K5" s="13" t="s">
        <v>58</v>
      </c>
      <c r="L5" s="13" t="s">
        <v>60</v>
      </c>
    </row>
    <row r="6" spans="1:12" ht="12.75">
      <c r="A6" s="61" t="s">
        <v>96</v>
      </c>
      <c r="B6" s="78"/>
      <c r="C6" s="47"/>
      <c r="D6" s="49" t="s">
        <v>41</v>
      </c>
      <c r="E6" s="50" t="s">
        <v>44</v>
      </c>
      <c r="F6" s="50" t="s">
        <v>47</v>
      </c>
      <c r="G6" s="50" t="s">
        <v>49</v>
      </c>
      <c r="H6" s="29" t="s">
        <v>44</v>
      </c>
      <c r="I6" s="50"/>
      <c r="J6" s="29" t="s">
        <v>56</v>
      </c>
      <c r="K6" s="50" t="s">
        <v>47</v>
      </c>
      <c r="L6" s="50" t="s">
        <v>65</v>
      </c>
    </row>
    <row r="7" spans="1:12" ht="12.75">
      <c r="A7" s="60"/>
      <c r="B7" s="79"/>
      <c r="C7" s="25"/>
      <c r="D7" s="15"/>
      <c r="E7" s="2"/>
      <c r="F7" s="45"/>
      <c r="G7" s="2"/>
      <c r="H7" s="45"/>
      <c r="I7" s="2"/>
      <c r="J7" s="26"/>
      <c r="K7" s="26"/>
      <c r="L7" s="15"/>
    </row>
    <row r="8" spans="1:12" ht="12.75">
      <c r="A8" s="57" t="s">
        <v>27</v>
      </c>
      <c r="B8" s="13" t="s">
        <v>33</v>
      </c>
      <c r="C8" s="14">
        <f>SUM(D8:L8)</f>
        <v>-2313402.3509332743</v>
      </c>
      <c r="D8" s="33">
        <f>'Joulukuun uusjako'!E42-'Ennuste ydinprosesseittain'!D8</f>
        <v>-222128.9889040757</v>
      </c>
      <c r="E8" s="33">
        <f>'Joulukuun uusjako'!F42-'Ennuste ydinprosesseittain'!E8</f>
        <v>-376125.0725379512</v>
      </c>
      <c r="F8" s="33">
        <f>'Joulukuun uusjako'!G42-'Ennuste ydinprosesseittain'!F8</f>
        <v>-83188.41020004079</v>
      </c>
      <c r="G8" s="33">
        <f>'Joulukuun uusjako'!H42-'Ennuste ydinprosesseittain'!G8</f>
        <v>-8591.13994287327</v>
      </c>
      <c r="H8" s="33">
        <f>'Joulukuun uusjako'!I42-'Ennuste ydinprosesseittain'!H8</f>
        <v>-992004.7393483333</v>
      </c>
      <c r="I8" s="33">
        <f>'Joulukuun uusjako'!J42-'Ennuste ydinprosesseittain'!I8</f>
        <v>0</v>
      </c>
      <c r="J8" s="33">
        <f>'Joulukuun uusjako'!K42-'Ennuste ydinprosesseittain'!J8</f>
        <v>0</v>
      </c>
      <c r="K8" s="33">
        <f>'Joulukuun uusjako'!L42-'Ennuste ydinprosesseittain'!K8</f>
        <v>0</v>
      </c>
      <c r="L8" s="33">
        <f>'Joulukuun uusjako'!M42-'Ennuste ydinprosesseittain'!L8</f>
        <v>-631364</v>
      </c>
    </row>
    <row r="9" spans="1:12" ht="12.75">
      <c r="A9" s="57" t="s">
        <v>28</v>
      </c>
      <c r="B9" s="13" t="s">
        <v>34</v>
      </c>
      <c r="C9" s="14">
        <f>SUM(D9:L9)</f>
        <v>-781557.172998049</v>
      </c>
      <c r="D9" s="33">
        <f>'Joulukuun uusjako'!E43-'Ennuste ydinprosesseittain'!D9</f>
        <v>-441043.09199999995</v>
      </c>
      <c r="E9" s="33">
        <f>'Joulukuun uusjako'!F43-'Ennuste ydinprosesseittain'!E9</f>
        <v>0</v>
      </c>
      <c r="F9" s="33">
        <f>'Joulukuun uusjako'!G43-'Ennuste ydinprosesseittain'!F9</f>
        <v>0</v>
      </c>
      <c r="G9" s="33">
        <f>'Joulukuun uusjako'!H43-'Ennuste ydinprosesseittain'!G9</f>
        <v>-2535.7307912487304</v>
      </c>
      <c r="H9" s="33">
        <f>'Joulukuun uusjako'!I43-'Ennuste ydinprosesseittain'!H9</f>
        <v>-77858.35020680024</v>
      </c>
      <c r="I9" s="33">
        <f>'Joulukuun uusjako'!J43-'Ennuste ydinprosesseittain'!I9</f>
        <v>0</v>
      </c>
      <c r="J9" s="33">
        <f>'Joulukuun uusjako'!K43-'Ennuste ydinprosesseittain'!J9</f>
        <v>0</v>
      </c>
      <c r="K9" s="33">
        <f>'Joulukuun uusjako'!L43-'Ennuste ydinprosesseittain'!K9</f>
        <v>0</v>
      </c>
      <c r="L9" s="33">
        <f>'Joulukuun uusjako'!M43-'Ennuste ydinprosesseittain'!L9</f>
        <v>-260120</v>
      </c>
    </row>
    <row r="10" spans="1:12" ht="12.75">
      <c r="A10" s="61"/>
      <c r="B10" s="50" t="s">
        <v>35</v>
      </c>
      <c r="C10" s="17">
        <f aca="true" t="shared" si="0" ref="C10:L10">+C8-C9</f>
        <v>-1531845.1779352254</v>
      </c>
      <c r="D10" s="44">
        <f t="shared" si="0"/>
        <v>218914.10309592425</v>
      </c>
      <c r="E10" s="44">
        <f t="shared" si="0"/>
        <v>-376125.0725379512</v>
      </c>
      <c r="F10" s="44">
        <f t="shared" si="0"/>
        <v>-83188.41020004079</v>
      </c>
      <c r="G10" s="44">
        <f t="shared" si="0"/>
        <v>-6055.409151624539</v>
      </c>
      <c r="H10" s="44">
        <f t="shared" si="0"/>
        <v>-914146.389141533</v>
      </c>
      <c r="I10" s="44">
        <f t="shared" si="0"/>
        <v>0</v>
      </c>
      <c r="J10" s="44">
        <f t="shared" si="0"/>
        <v>0</v>
      </c>
      <c r="K10" s="44">
        <f t="shared" si="0"/>
        <v>0</v>
      </c>
      <c r="L10" s="44">
        <f t="shared" si="0"/>
        <v>-371244</v>
      </c>
    </row>
    <row r="11" spans="1:12" ht="12.75">
      <c r="A11" s="57"/>
      <c r="B11" s="13"/>
      <c r="C11" s="14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2.75">
      <c r="A12" s="57" t="s">
        <v>31</v>
      </c>
      <c r="B12" s="13" t="s">
        <v>33</v>
      </c>
      <c r="C12" s="14">
        <f>SUM(D12:L12)</f>
        <v>-1042141.4425590379</v>
      </c>
      <c r="D12" s="33">
        <f>'Joulukuun uusjako'!E46-'Ennuste ydinprosesseittain'!D12</f>
        <v>-52274.94487436442</v>
      </c>
      <c r="E12" s="33">
        <f>'Joulukuun uusjako'!F46-'Ennuste ydinprosesseittain'!E12</f>
        <v>-99659.98819712922</v>
      </c>
      <c r="F12" s="33">
        <f>'Joulukuun uusjako'!G46-'Ennuste ydinprosesseittain'!F12</f>
        <v>-33963.788770495914</v>
      </c>
      <c r="G12" s="33">
        <f>'Joulukuun uusjako'!H46-'Ennuste ydinprosesseittain'!G12</f>
        <v>-6339.576094040647</v>
      </c>
      <c r="H12" s="33">
        <f>'Joulukuun uusjako'!I46-'Ennuste ydinprosesseittain'!H12</f>
        <v>-881379.7231037021</v>
      </c>
      <c r="I12" s="33">
        <f>'Joulukuun uusjako'!J46-'Ennuste ydinprosesseittain'!I12</f>
        <v>0</v>
      </c>
      <c r="J12" s="33">
        <f>'Joulukuun uusjako'!K46-'Ennuste ydinprosesseittain'!J12</f>
        <v>0</v>
      </c>
      <c r="K12" s="33">
        <f>'Joulukuun uusjako'!L46-'Ennuste ydinprosesseittain'!K12</f>
        <v>31476.578480694327</v>
      </c>
      <c r="L12" s="33">
        <f>'Joulukuun uusjako'!M46-'Ennuste ydinprosesseittain'!L12</f>
        <v>0</v>
      </c>
    </row>
    <row r="13" spans="1:12" ht="12.75">
      <c r="A13" s="57" t="s">
        <v>32</v>
      </c>
      <c r="B13" s="13" t="s">
        <v>34</v>
      </c>
      <c r="C13" s="14">
        <f>SUM(D13:L13)</f>
        <v>-174676.99598252028</v>
      </c>
      <c r="D13" s="33">
        <f>'Joulukuun uusjako'!E47-'Ennuste ydinprosesseittain'!D13</f>
        <v>-95700.07199999997</v>
      </c>
      <c r="E13" s="33">
        <f>'Joulukuun uusjako'!F47-'Ennuste ydinprosesseittain'!E13</f>
        <v>0</v>
      </c>
      <c r="F13" s="33">
        <f>'Joulukuun uusjako'!G47-'Ennuste ydinprosesseittain'!F13</f>
        <v>-26795.130028677988</v>
      </c>
      <c r="G13" s="33">
        <f>'Joulukuun uusjako'!H47-'Ennuste ydinprosesseittain'!G13</f>
        <v>-4361.355302785174</v>
      </c>
      <c r="H13" s="33">
        <f>'Joulukuun uusjako'!I47-'Ennuste ydinprosesseittain'!H13</f>
        <v>-80852.48803815729</v>
      </c>
      <c r="I13" s="33">
        <f>'Joulukuun uusjako'!J47-'Ennuste ydinprosesseittain'!I13</f>
        <v>0</v>
      </c>
      <c r="J13" s="33">
        <f>'Joulukuun uusjako'!K47-'Ennuste ydinprosesseittain'!J13</f>
        <v>0</v>
      </c>
      <c r="K13" s="33">
        <f>'Joulukuun uusjako'!L47-'Ennuste ydinprosesseittain'!K13</f>
        <v>33032.04938710015</v>
      </c>
      <c r="L13" s="33">
        <f>'Joulukuun uusjako'!M47-'Ennuste ydinprosesseittain'!L13</f>
        <v>0</v>
      </c>
    </row>
    <row r="14" spans="1:12" ht="12.75">
      <c r="A14" s="61"/>
      <c r="B14" s="50" t="s">
        <v>35</v>
      </c>
      <c r="C14" s="17">
        <f>+C12-C13</f>
        <v>-867464.4465765177</v>
      </c>
      <c r="D14" s="44">
        <f aca="true" t="shared" si="1" ref="D14:L14">D12-D13</f>
        <v>43425.127125635554</v>
      </c>
      <c r="E14" s="44">
        <f t="shared" si="1"/>
        <v>-99659.98819712922</v>
      </c>
      <c r="F14" s="44">
        <f t="shared" si="1"/>
        <v>-7168.658741817926</v>
      </c>
      <c r="G14" s="44">
        <f t="shared" si="1"/>
        <v>-1978.2207912554732</v>
      </c>
      <c r="H14" s="44">
        <f t="shared" si="1"/>
        <v>-800527.2350655447</v>
      </c>
      <c r="I14" s="44">
        <f t="shared" si="1"/>
        <v>0</v>
      </c>
      <c r="J14" s="44">
        <f t="shared" si="1"/>
        <v>0</v>
      </c>
      <c r="K14" s="44">
        <f t="shared" si="1"/>
        <v>-1555.470906405826</v>
      </c>
      <c r="L14" s="44">
        <f t="shared" si="1"/>
        <v>0</v>
      </c>
    </row>
    <row r="15" spans="1:12" ht="12.75">
      <c r="A15" s="57"/>
      <c r="B15" s="13"/>
      <c r="C15" s="14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12.75">
      <c r="A16" s="57" t="s">
        <v>29</v>
      </c>
      <c r="B16" s="13" t="s">
        <v>33</v>
      </c>
      <c r="C16" s="14">
        <f>SUM(D16:L16)</f>
        <v>-3644132.7750593657</v>
      </c>
      <c r="D16" s="33">
        <f>'Joulukuun uusjako'!E50-'Ennuste ydinprosesseittain'!D16</f>
        <v>-306480.1612695679</v>
      </c>
      <c r="E16" s="33">
        <f>'Joulukuun uusjako'!F50-'Ennuste ydinprosesseittain'!E16</f>
        <v>-492578.8945500478</v>
      </c>
      <c r="F16" s="33">
        <f>'Joulukuun uusjako'!G50-'Ennuste ydinprosesseittain'!F16</f>
        <v>-147725.7302178815</v>
      </c>
      <c r="G16" s="33">
        <f>'Joulukuun uusjako'!H50-'Ennuste ydinprosesseittain'!G16</f>
        <v>-53867.00957985222</v>
      </c>
      <c r="H16" s="33">
        <f>'Joulukuun uusjako'!I50-'Ennuste ydinprosesseittain'!H16</f>
        <v>-2826368.637146905</v>
      </c>
      <c r="I16" s="33">
        <f>'Joulukuun uusjako'!J50-'Ennuste ydinprosesseittain'!I16</f>
        <v>-114241.48155438062</v>
      </c>
      <c r="J16" s="33">
        <f>'Joulukuun uusjako'!K50-'Ennuste ydinprosesseittain'!J16</f>
        <v>30420.229799999855</v>
      </c>
      <c r="K16" s="33">
        <f>'Joulukuun uusjako'!L50-'Ennuste ydinprosesseittain'!K16</f>
        <v>266708.9094592696</v>
      </c>
      <c r="L16" s="33">
        <f>'Joulukuun uusjako'!M50-'Ennuste ydinprosesseittain'!L16</f>
        <v>0</v>
      </c>
    </row>
    <row r="17" spans="1:12" ht="12.75">
      <c r="A17" s="57" t="s">
        <v>79</v>
      </c>
      <c r="B17" s="13" t="s">
        <v>34</v>
      </c>
      <c r="C17" s="14">
        <f>SUM(D17:L17)</f>
        <v>-1985131.3704858674</v>
      </c>
      <c r="D17" s="33">
        <f>'Joulukuun uusjako'!E51-'Ennuste ydinprosesseittain'!D17</f>
        <v>-727926.7919999997</v>
      </c>
      <c r="E17" s="33">
        <f>'Joulukuun uusjako'!F51-'Ennuste ydinprosesseittain'!E17</f>
        <v>0</v>
      </c>
      <c r="F17" s="33">
        <f>'Joulukuun uusjako'!G51-'Ennuste ydinprosesseittain'!F17</f>
        <v>-328540.3353350824</v>
      </c>
      <c r="G17" s="33">
        <f>'Joulukuun uusjako'!H51-'Ennuste ydinprosesseittain'!G17</f>
        <v>-28731.13821340562</v>
      </c>
      <c r="H17" s="33">
        <f>'Joulukuun uusjako'!I51-'Ennuste ydinprosesseittain'!H17</f>
        <v>-1131940.9848722117</v>
      </c>
      <c r="I17" s="33">
        <f>'Joulukuun uusjako'!J51-'Ennuste ydinprosesseittain'!I17</f>
        <v>-15646.494577400037</v>
      </c>
      <c r="J17" s="33">
        <f>'Joulukuun uusjako'!K51-'Ennuste ydinprosesseittain'!J17</f>
        <v>-42900</v>
      </c>
      <c r="K17" s="33">
        <f>'Joulukuun uusjako'!L51-'Ennuste ydinprosesseittain'!K17</f>
        <v>290554.3745122319</v>
      </c>
      <c r="L17" s="33">
        <f>'Joulukuun uusjako'!M51-'Ennuste ydinprosesseittain'!L17</f>
        <v>0</v>
      </c>
    </row>
    <row r="18" spans="1:12" ht="12.75">
      <c r="A18" s="61"/>
      <c r="B18" s="50" t="s">
        <v>35</v>
      </c>
      <c r="C18" s="17">
        <f>+C16-C17</f>
        <v>-1659001.4045734983</v>
      </c>
      <c r="D18" s="44">
        <f aca="true" t="shared" si="2" ref="D18:L18">D16-D17</f>
        <v>421446.63073043176</v>
      </c>
      <c r="E18" s="44">
        <f t="shared" si="2"/>
        <v>-492578.8945500478</v>
      </c>
      <c r="F18" s="44">
        <f t="shared" si="2"/>
        <v>180814.60511720087</v>
      </c>
      <c r="G18" s="44">
        <f t="shared" si="2"/>
        <v>-25135.871366446605</v>
      </c>
      <c r="H18" s="44">
        <f t="shared" si="2"/>
        <v>-1694427.6522746934</v>
      </c>
      <c r="I18" s="44">
        <f t="shared" si="2"/>
        <v>-98594.98697698058</v>
      </c>
      <c r="J18" s="44">
        <f t="shared" si="2"/>
        <v>73320.22979999986</v>
      </c>
      <c r="K18" s="44">
        <f t="shared" si="2"/>
        <v>-23845.465052962303</v>
      </c>
      <c r="L18" s="44">
        <f t="shared" si="2"/>
        <v>0</v>
      </c>
    </row>
    <row r="19" spans="1:12" ht="12.75">
      <c r="A19" s="57"/>
      <c r="B19" s="13"/>
      <c r="C19" s="14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2.75">
      <c r="A20" s="57" t="s">
        <v>30</v>
      </c>
      <c r="B20" s="13" t="s">
        <v>33</v>
      </c>
      <c r="C20" s="14">
        <f>SUM(D20:L20)</f>
        <v>-6055385.04177966</v>
      </c>
      <c r="D20" s="33">
        <f>'Joulukuun uusjako'!E54-'Ennuste ydinprosesseittain'!D20</f>
        <v>-382208.844951991</v>
      </c>
      <c r="E20" s="33">
        <f>'Joulukuun uusjako'!F54-'Ennuste ydinprosesseittain'!E20</f>
        <v>-36384.04471487552</v>
      </c>
      <c r="F20" s="33">
        <f>'Joulukuun uusjako'!G54-'Ennuste ydinprosesseittain'!F20</f>
        <v>-65861.0842969194</v>
      </c>
      <c r="G20" s="33">
        <f>'Joulukuun uusjako'!H54-'Ennuste ydinprosesseittain'!G20</f>
        <v>-47114.12438322604</v>
      </c>
      <c r="H20" s="33">
        <f>'Joulukuun uusjako'!I54-'Ennuste ydinprosesseittain'!H20</f>
        <v>-1734762.8282869793</v>
      </c>
      <c r="I20" s="33">
        <f>'Joulukuun uusjako'!J54-'Ennuste ydinprosesseittain'!I20</f>
        <v>-3789054.1151456684</v>
      </c>
      <c r="J20" s="33">
        <f>'Joulukuun uusjako'!K54-'Ennuste ydinprosesseittain'!J20</f>
        <v>0</v>
      </c>
      <c r="K20" s="33">
        <f>'Joulukuun uusjako'!L54-'Ennuste ydinprosesseittain'!K20</f>
        <v>0</v>
      </c>
      <c r="L20" s="33">
        <f>'Joulukuun uusjako'!M54-'Ennuste ydinprosesseittain'!L20</f>
        <v>0</v>
      </c>
    </row>
    <row r="21" spans="1:12" ht="12.75">
      <c r="A21" s="57" t="s">
        <v>73</v>
      </c>
      <c r="B21" s="13" t="s">
        <v>34</v>
      </c>
      <c r="C21" s="14">
        <f>SUM(D21:L21)</f>
        <v>-1986535.416407855</v>
      </c>
      <c r="D21" s="33">
        <f>'Joulukuun uusjako'!E55-'Ennuste ydinprosesseittain'!D21</f>
        <v>-900490.044</v>
      </c>
      <c r="E21" s="33">
        <f>'Joulukuun uusjako'!F55-'Ennuste ydinprosesseittain'!E21</f>
        <v>0</v>
      </c>
      <c r="F21" s="33">
        <f>'Joulukuun uusjako'!G55-'Ennuste ydinprosesseittain'!F21</f>
        <v>-26795.130028677988</v>
      </c>
      <c r="G21" s="33">
        <f>'Joulukuun uusjako'!H55-'Ennuste ydinprosesseittain'!G21</f>
        <v>-44771.775692560244</v>
      </c>
      <c r="H21" s="33">
        <f>'Joulukuun uusjako'!I55-'Ennuste ydinprosesseittain'!H21</f>
        <v>-206625.24666401668</v>
      </c>
      <c r="I21" s="33">
        <f>'Joulukuun uusjako'!J55-'Ennuste ydinprosesseittain'!I21</f>
        <v>-807853.2200226001</v>
      </c>
      <c r="J21" s="33">
        <f>'Joulukuun uusjako'!K55-'Ennuste ydinprosesseittain'!J21</f>
        <v>0</v>
      </c>
      <c r="K21" s="33">
        <f>'Joulukuun uusjako'!L55-'Ennuste ydinprosesseittain'!K21</f>
        <v>0</v>
      </c>
      <c r="L21" s="33">
        <f>'Joulukuun uusjako'!M55-'Ennuste ydinprosesseittain'!L21</f>
        <v>0</v>
      </c>
    </row>
    <row r="22" spans="1:12" ht="12.75">
      <c r="A22" s="61"/>
      <c r="B22" s="50" t="s">
        <v>35</v>
      </c>
      <c r="C22" s="17">
        <f>+C20-C21</f>
        <v>-4068849.6253718045</v>
      </c>
      <c r="D22" s="44">
        <f aca="true" t="shared" si="3" ref="D22:L22">D20-D21</f>
        <v>518281.199048009</v>
      </c>
      <c r="E22" s="44">
        <f t="shared" si="3"/>
        <v>-36384.04471487552</v>
      </c>
      <c r="F22" s="44">
        <f t="shared" si="3"/>
        <v>-39065.95426824142</v>
      </c>
      <c r="G22" s="44">
        <f t="shared" si="3"/>
        <v>-2342.3486906657927</v>
      </c>
      <c r="H22" s="44">
        <f t="shared" si="3"/>
        <v>-1528137.5816229626</v>
      </c>
      <c r="I22" s="44">
        <f t="shared" si="3"/>
        <v>-2981200.8951230682</v>
      </c>
      <c r="J22" s="44">
        <f t="shared" si="3"/>
        <v>0</v>
      </c>
      <c r="K22" s="44">
        <f t="shared" si="3"/>
        <v>0</v>
      </c>
      <c r="L22" s="44">
        <f t="shared" si="3"/>
        <v>0</v>
      </c>
    </row>
    <row r="23" spans="1:12" ht="12.75">
      <c r="A23" s="57"/>
      <c r="B23" s="13"/>
      <c r="C23" s="1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2.75">
      <c r="A24" s="57" t="s">
        <v>80</v>
      </c>
      <c r="B24" s="13" t="s">
        <v>33</v>
      </c>
      <c r="C24" s="14">
        <f>+C8+C12+C16+C20</f>
        <v>-13055061.610331338</v>
      </c>
      <c r="D24" s="14">
        <f>+D8+D12+D16+D20</f>
        <v>-963092.939999999</v>
      </c>
      <c r="E24" s="14">
        <f aca="true" t="shared" si="4" ref="E24:L25">+E8+E12+E16+E20</f>
        <v>-1004748.0000000037</v>
      </c>
      <c r="F24" s="14">
        <f t="shared" si="4"/>
        <v>-330739.0134853376</v>
      </c>
      <c r="G24" s="14">
        <f t="shared" si="4"/>
        <v>-115911.84999999218</v>
      </c>
      <c r="H24" s="14">
        <f t="shared" si="4"/>
        <v>-6434515.92788592</v>
      </c>
      <c r="I24" s="14">
        <f t="shared" si="4"/>
        <v>-3903295.596700049</v>
      </c>
      <c r="J24" s="14">
        <f t="shared" si="4"/>
        <v>30420.229799999855</v>
      </c>
      <c r="K24" s="14">
        <f t="shared" si="4"/>
        <v>298185.48793996393</v>
      </c>
      <c r="L24" s="14">
        <f t="shared" si="4"/>
        <v>-631364</v>
      </c>
    </row>
    <row r="25" spans="1:12" ht="12.75">
      <c r="A25" s="56"/>
      <c r="B25" s="13" t="s">
        <v>34</v>
      </c>
      <c r="C25" s="14">
        <f>+C9+C13+C17+C21</f>
        <v>-4927900.955874291</v>
      </c>
      <c r="D25" s="14">
        <f>+D9+D13+D17+D21</f>
        <v>-2165159.9999999995</v>
      </c>
      <c r="E25" s="14">
        <f t="shared" si="4"/>
        <v>0</v>
      </c>
      <c r="F25" s="14">
        <f t="shared" si="4"/>
        <v>-382130.59539243835</v>
      </c>
      <c r="G25" s="14">
        <f t="shared" si="4"/>
        <v>-80399.99999999977</v>
      </c>
      <c r="H25" s="14">
        <f t="shared" si="4"/>
        <v>-1497277.069781186</v>
      </c>
      <c r="I25" s="14">
        <f t="shared" si="4"/>
        <v>-823499.7146000002</v>
      </c>
      <c r="J25" s="14">
        <f t="shared" si="4"/>
        <v>-42900</v>
      </c>
      <c r="K25" s="14">
        <f t="shared" si="4"/>
        <v>323586.42389933206</v>
      </c>
      <c r="L25" s="14">
        <f t="shared" si="4"/>
        <v>-260120</v>
      </c>
    </row>
    <row r="26" spans="1:12" ht="12.75">
      <c r="A26" s="59"/>
      <c r="B26" s="50" t="s">
        <v>35</v>
      </c>
      <c r="C26" s="17">
        <f>+C24-C25</f>
        <v>-8127160.654457047</v>
      </c>
      <c r="D26" s="17">
        <f aca="true" t="shared" si="5" ref="D26:L26">+D24-D25</f>
        <v>1202067.0600000005</v>
      </c>
      <c r="E26" s="17">
        <f t="shared" si="5"/>
        <v>-1004748.0000000037</v>
      </c>
      <c r="F26" s="17">
        <f t="shared" si="5"/>
        <v>51391.58190710074</v>
      </c>
      <c r="G26" s="17">
        <f t="shared" si="5"/>
        <v>-35511.84999999241</v>
      </c>
      <c r="H26" s="17">
        <f t="shared" si="5"/>
        <v>-4937238.858104734</v>
      </c>
      <c r="I26" s="17">
        <f t="shared" si="5"/>
        <v>-3079795.882100049</v>
      </c>
      <c r="J26" s="17">
        <f t="shared" si="5"/>
        <v>73320.22979999986</v>
      </c>
      <c r="K26" s="17">
        <f t="shared" si="5"/>
        <v>-25400.93595936813</v>
      </c>
      <c r="L26" s="17">
        <f t="shared" si="5"/>
        <v>-371244</v>
      </c>
    </row>
  </sheetData>
  <printOptions/>
  <pageMargins left="0.75" right="0.75" top="1" bottom="1" header="0.4921259845" footer="0.4921259845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6"/>
  <sheetViews>
    <sheetView workbookViewId="0" topLeftCell="A1">
      <selection activeCell="D8" sqref="D8"/>
    </sheetView>
  </sheetViews>
  <sheetFormatPr defaultColWidth="9.140625" defaultRowHeight="12.75"/>
  <cols>
    <col min="1" max="1" width="28.28125" style="0" customWidth="1"/>
    <col min="2" max="2" width="5.7109375" style="0" customWidth="1"/>
    <col min="3" max="11" width="15.7109375" style="0" customWidth="1"/>
  </cols>
  <sheetData>
    <row r="2" ht="12.75">
      <c r="C2" s="4" t="s">
        <v>102</v>
      </c>
    </row>
    <row r="3" spans="1:11" ht="12.75">
      <c r="A3" s="76" t="s">
        <v>36</v>
      </c>
      <c r="B3" s="76"/>
      <c r="C3" s="40"/>
      <c r="D3" s="40"/>
      <c r="E3" s="70"/>
      <c r="F3" s="71"/>
      <c r="G3" s="72"/>
      <c r="H3" s="71"/>
      <c r="I3" s="65"/>
      <c r="J3" s="73"/>
      <c r="K3" s="40"/>
    </row>
    <row r="4" spans="1:11" ht="12.75">
      <c r="A4" s="57"/>
      <c r="B4" s="77"/>
      <c r="C4" s="13" t="s">
        <v>38</v>
      </c>
      <c r="D4" s="31" t="s">
        <v>39</v>
      </c>
      <c r="E4" s="31" t="s">
        <v>42</v>
      </c>
      <c r="F4" s="74" t="s">
        <v>45</v>
      </c>
      <c r="G4" s="31" t="s">
        <v>48</v>
      </c>
      <c r="H4" s="74" t="s">
        <v>51</v>
      </c>
      <c r="I4" s="31" t="s">
        <v>53</v>
      </c>
      <c r="J4" s="75" t="s">
        <v>54</v>
      </c>
      <c r="K4" s="13" t="s">
        <v>57</v>
      </c>
    </row>
    <row r="5" spans="1:11" ht="12.75">
      <c r="A5" s="57" t="s">
        <v>101</v>
      </c>
      <c r="B5" s="77"/>
      <c r="C5" s="13" t="s">
        <v>72</v>
      </c>
      <c r="D5" s="32" t="s">
        <v>40</v>
      </c>
      <c r="E5" s="13" t="s">
        <v>43</v>
      </c>
      <c r="F5" s="12" t="s">
        <v>46</v>
      </c>
      <c r="G5" s="13" t="s">
        <v>50</v>
      </c>
      <c r="H5" s="12" t="s">
        <v>52</v>
      </c>
      <c r="I5" s="13" t="s">
        <v>47</v>
      </c>
      <c r="J5" s="12" t="s">
        <v>55</v>
      </c>
      <c r="K5" s="13" t="s">
        <v>58</v>
      </c>
    </row>
    <row r="6" spans="1:11" ht="12.75">
      <c r="A6" s="61"/>
      <c r="B6" s="78"/>
      <c r="C6" s="47"/>
      <c r="D6" s="49" t="s">
        <v>41</v>
      </c>
      <c r="E6" s="50" t="s">
        <v>44</v>
      </c>
      <c r="F6" s="50" t="s">
        <v>47</v>
      </c>
      <c r="G6" s="50" t="s">
        <v>49</v>
      </c>
      <c r="H6" s="29" t="s">
        <v>44</v>
      </c>
      <c r="I6" s="50"/>
      <c r="J6" s="29" t="s">
        <v>56</v>
      </c>
      <c r="K6" s="50" t="s">
        <v>47</v>
      </c>
    </row>
    <row r="7" spans="1:11" ht="12.75">
      <c r="A7" s="60"/>
      <c r="B7" s="79"/>
      <c r="C7" s="25"/>
      <c r="D7" s="15"/>
      <c r="E7" s="2"/>
      <c r="F7" s="45"/>
      <c r="G7" s="2"/>
      <c r="H7" s="45"/>
      <c r="I7" s="2"/>
      <c r="J7" s="26"/>
      <c r="K7" s="15"/>
    </row>
    <row r="8" spans="1:11" ht="12.75">
      <c r="A8" s="57" t="s">
        <v>27</v>
      </c>
      <c r="B8" s="13" t="s">
        <v>33</v>
      </c>
      <c r="C8" s="14">
        <f>SUM(D8:K8)</f>
        <v>84559538.0376313</v>
      </c>
      <c r="D8" s="33">
        <f>'TA 2010+MKS+SS'!E42/'TA 2010+MKS+SS'!E58*('[3]Tulosalueet '!$G$6+7200000)</f>
        <v>16020067.476309095</v>
      </c>
      <c r="E8" s="33">
        <f>'TA 2010+MKS+SS'!F42/'TA 2010+MKS+SS'!F58*'[3]Tulosalueet '!$G$9</f>
        <v>34685491.81338291</v>
      </c>
      <c r="F8" s="33">
        <f>'TA 2010+MKS+SS'!G42/'TA 2010+MKS+SS'!G58*'[3]Tulosalueet '!$G$12</f>
        <v>12740226.714205092</v>
      </c>
      <c r="G8" s="33">
        <f>'TA 2010+MKS+SS'!H42/'TA 2010+MKS+SS'!H58*'[3]Tulosalueet '!$G$15</f>
        <v>13695817.393132381</v>
      </c>
      <c r="H8" s="33">
        <f>'TA 2010+MKS+SS'!I42/'TA 2010+MKS+SS'!I58*'[3]Tulosalueet '!$G$21</f>
        <v>7417934.6406018315</v>
      </c>
      <c r="I8" s="33">
        <f>'TA 2010+MKS+SS'!J42/'TA 2010+MKS+SS'!J58*'[1]Tulosalueet '!$G28</f>
        <v>0</v>
      </c>
      <c r="J8" s="33">
        <f>'TA 2010+MKS+SS'!K42/'TA 2010+MKS+SS'!K58*'[1]Tulosalueet '!$G31</f>
        <v>0</v>
      </c>
      <c r="K8" s="33">
        <f>'TA 2010+MKS+SS'!L42/'TA 2010+MKS+SS'!L58*'[1]Tulosalueet '!$G34</f>
        <v>0</v>
      </c>
    </row>
    <row r="9" spans="1:11" ht="12.75">
      <c r="A9" s="57" t="s">
        <v>28</v>
      </c>
      <c r="B9" s="13" t="s">
        <v>34</v>
      </c>
      <c r="C9" s="14">
        <f>SUM(D9:K9)</f>
        <v>8589765.157222576</v>
      </c>
      <c r="D9" s="33">
        <f>'TA 2010+MKS+SS'!E43/'TA 2010+MKS+SS'!E59*'[3]Tulosalueet '!$G$7</f>
        <v>1005234.6486</v>
      </c>
      <c r="E9" s="33">
        <f>'TA 2010+MKS+SS'!F43/'TA 2010+MKS+SS'!F59*'[3]Tulosalueet '!$G$10</f>
        <v>7302728.6793168755</v>
      </c>
      <c r="F9" s="33">
        <f>'TA 2010+MKS+SS'!G43/'TA 2010+MKS+SS'!G59*'[2]Tulosalueet '!$G$14</f>
        <v>0</v>
      </c>
      <c r="G9" s="33">
        <f>'TA 2010+MKS+SS'!H43/'TA 2010+MKS+SS'!H59*'[3]Tulosalueet '!$G$16</f>
        <v>136908.40449245588</v>
      </c>
      <c r="H9" s="33">
        <f>'TA 2010+MKS+SS'!I43/'TA 2010+MKS+SS'!I59*'[3]Tulosalueet '!$G$22</f>
        <v>144893.42481324484</v>
      </c>
      <c r="I9" s="33">
        <f>'TA 2010+MKS+SS'!J43/'TA 2010+MKS+SS'!J59*'[1]Tulosalueet '!$G29</f>
        <v>0</v>
      </c>
      <c r="J9" s="33">
        <f>'TA 2010+MKS+SS'!K43/'TA 2010+MKS+SS'!K59*'[1]Tulosalueet '!$G32</f>
        <v>0</v>
      </c>
      <c r="K9" s="33">
        <f>'TA 2010+MKS+SS'!L43/'TA 2010+MKS+SS'!L59*'[1]Tulosalueet '!$G35</f>
        <v>0</v>
      </c>
    </row>
    <row r="10" spans="1:11" ht="12.75">
      <c r="A10" s="61"/>
      <c r="B10" s="50" t="s">
        <v>35</v>
      </c>
      <c r="C10" s="17">
        <f aca="true" t="shared" si="0" ref="C10:K10">+C8-C9</f>
        <v>75969772.88040873</v>
      </c>
      <c r="D10" s="44">
        <f t="shared" si="0"/>
        <v>15014832.827709094</v>
      </c>
      <c r="E10" s="44">
        <f t="shared" si="0"/>
        <v>27382763.134066034</v>
      </c>
      <c r="F10" s="44">
        <f t="shared" si="0"/>
        <v>12740226.714205092</v>
      </c>
      <c r="G10" s="44">
        <f t="shared" si="0"/>
        <v>13558908.988639925</v>
      </c>
      <c r="H10" s="44">
        <f t="shared" si="0"/>
        <v>7273041.215788587</v>
      </c>
      <c r="I10" s="44">
        <f t="shared" si="0"/>
        <v>0</v>
      </c>
      <c r="J10" s="44">
        <f t="shared" si="0"/>
        <v>0</v>
      </c>
      <c r="K10" s="44">
        <f t="shared" si="0"/>
        <v>0</v>
      </c>
    </row>
    <row r="11" spans="1:11" ht="12.75">
      <c r="A11" s="57"/>
      <c r="B11" s="13"/>
      <c r="C11" s="14"/>
      <c r="D11" s="33"/>
      <c r="E11" s="33"/>
      <c r="F11" s="33"/>
      <c r="G11" s="33"/>
      <c r="H11" s="33"/>
      <c r="I11" s="33"/>
      <c r="J11" s="33"/>
      <c r="K11" s="33"/>
    </row>
    <row r="12" spans="1:11" ht="12.75">
      <c r="A12" s="57" t="s">
        <v>31</v>
      </c>
      <c r="B12" s="13" t="s">
        <v>33</v>
      </c>
      <c r="C12" s="14">
        <f>SUM(D12:K12)</f>
        <v>35486933.013670206</v>
      </c>
      <c r="D12" s="33">
        <f>'TA 2010+MKS+SS'!E46/'TA 2010+MKS+SS'!E58*('[3]Tulosalueet '!$G$6+7200000)</f>
        <v>3770098.393457784</v>
      </c>
      <c r="E12" s="33">
        <f>'TA 2010+MKS+SS'!F46/'TA 2010+MKS+SS'!F58*'[3]Tulosalueet '!$G$9</f>
        <v>9190442.108547859</v>
      </c>
      <c r="F12" s="33">
        <f>'TA 2010+MKS+SS'!G46/'TA 2010+MKS+SS'!G58*'[3]Tulosalueet '!$G$12</f>
        <v>5201522.278992684</v>
      </c>
      <c r="G12" s="33">
        <f>'TA 2010+MKS+SS'!H46/'TA 2010+MKS+SS'!H58*'[3]Tulosalueet '!$G$15</f>
        <v>10106420.930307383</v>
      </c>
      <c r="H12" s="33">
        <f>'TA 2010+MKS+SS'!I46/'TA 2010+MKS+SS'!I58*'[3]Tulosalueet '!$G$21</f>
        <v>6590711.636952404</v>
      </c>
      <c r="I12" s="33">
        <f>'TA 2010+MKS+SS'!J46/'TA 2010+MKS+SS'!J58*'[1]Tulosalueet '!$G28</f>
        <v>0</v>
      </c>
      <c r="J12" s="33">
        <f>'TA 2010+MKS+SS'!K46/'TA 2010+MKS+SS'!K58*'[1]Tulosalueet '!$G31</f>
        <v>0</v>
      </c>
      <c r="K12" s="33">
        <f>'TA 2010+MKS+SS'!L46/'TA 2010+MKS+SS'!L58*'[3]Tulosalueet '!$G$33</f>
        <v>627737.6654121</v>
      </c>
    </row>
    <row r="13" spans="1:11" ht="12.75">
      <c r="A13" s="57" t="s">
        <v>32</v>
      </c>
      <c r="B13" s="13" t="s">
        <v>34</v>
      </c>
      <c r="C13" s="14">
        <f>SUM(D13:K13)</f>
        <v>3729958.3301450256</v>
      </c>
      <c r="D13" s="33">
        <f>'TA 2010+MKS+SS'!E47/'TA 2010+MKS+SS'!E59*'[3]Tulosalueet '!$G$7</f>
        <v>218121.60759999996</v>
      </c>
      <c r="E13" s="33">
        <f>'TA 2010+MKS+SS'!F47/'TA 2010+MKS+SS'!F59*'[3]Tulosalueet '!$G$10</f>
        <v>1912015.439774217</v>
      </c>
      <c r="F13" s="33">
        <f>'TA 2010+MKS+SS'!G47/'TA 2010+MKS+SS'!G59*'[3]Tulosalueet '!$G$13</f>
        <v>624242.5507968056</v>
      </c>
      <c r="G13" s="33">
        <f>'TA 2010+MKS+SS'!H47/'TA 2010+MKS+SS'!H59*'[3]Tulosalueet '!$G$16</f>
        <v>235476.96703047262</v>
      </c>
      <c r="H13" s="33">
        <f>'TA 2010+MKS+SS'!I47/'TA 2010+MKS+SS'!I59*'[3]Tulosalueet '!$G$22</f>
        <v>150465.47821016275</v>
      </c>
      <c r="I13" s="33">
        <f>'TA 2010+MKS+SS'!J47/'TA 2010+MKS+SS'!J59*'[1]Tulosalueet '!$G29</f>
        <v>0</v>
      </c>
      <c r="J13" s="33">
        <f>'TA 2010+MKS+SS'!K47/'TA 2010+MKS+SS'!K59*'[1]Tulosalueet '!$G32</f>
        <v>0</v>
      </c>
      <c r="K13" s="33">
        <f>'TA 2010+MKS+SS'!L47/'TA 2010+MKS+SS'!L59*'[3]Tulosalueet '!$G$34</f>
        <v>589636.2867333672</v>
      </c>
    </row>
    <row r="14" spans="1:11" ht="12.75">
      <c r="A14" s="61"/>
      <c r="B14" s="50" t="s">
        <v>35</v>
      </c>
      <c r="C14" s="17">
        <f>+C12-C13</f>
        <v>31756974.683525182</v>
      </c>
      <c r="D14" s="44">
        <f aca="true" t="shared" si="1" ref="D14:K14">D12-D13</f>
        <v>3551976.785857784</v>
      </c>
      <c r="E14" s="44">
        <f t="shared" si="1"/>
        <v>7278426.668773642</v>
      </c>
      <c r="F14" s="44">
        <f t="shared" si="1"/>
        <v>4577279.728195878</v>
      </c>
      <c r="G14" s="44">
        <f t="shared" si="1"/>
        <v>9870943.96327691</v>
      </c>
      <c r="H14" s="44">
        <f t="shared" si="1"/>
        <v>6440246.158742242</v>
      </c>
      <c r="I14" s="44">
        <f t="shared" si="1"/>
        <v>0</v>
      </c>
      <c r="J14" s="44">
        <f t="shared" si="1"/>
        <v>0</v>
      </c>
      <c r="K14" s="44">
        <f t="shared" si="1"/>
        <v>38101.378678732784</v>
      </c>
    </row>
    <row r="15" spans="1:11" ht="12.75">
      <c r="A15" s="57"/>
      <c r="B15" s="13"/>
      <c r="C15" s="14"/>
      <c r="D15" s="33"/>
      <c r="E15" s="33"/>
      <c r="F15" s="33"/>
      <c r="G15" s="33"/>
      <c r="H15" s="33"/>
      <c r="I15" s="33"/>
      <c r="J15" s="33"/>
      <c r="K15" s="33"/>
    </row>
    <row r="16" spans="1:11" ht="12.75">
      <c r="A16" s="57" t="s">
        <v>29</v>
      </c>
      <c r="B16" s="13" t="s">
        <v>33</v>
      </c>
      <c r="C16" s="14">
        <f>SUM(D16:K16)</f>
        <v>213890417.74634936</v>
      </c>
      <c r="D16" s="33">
        <f>'TA 2010+MKS+SS'!E50/'TA 2010+MKS+SS'!E58*('[3]Tulosalueet '!$G$6+7200000)</f>
        <v>22148915.06078935</v>
      </c>
      <c r="E16" s="33">
        <f>'TA 2010+MKS+SS'!F50/'TA 2010+MKS+SS'!F58*'[3]Tulosalueet '!$G$9</f>
        <v>45295553.22637276</v>
      </c>
      <c r="F16" s="33">
        <f>'TA 2010+MKS+SS'!G50/'TA 2010+MKS+SS'!G58*'[3]Tulosalueet '!$G$12</f>
        <v>22535253.98779199</v>
      </c>
      <c r="G16" s="33">
        <f>'TA 2010+MKS+SS'!H50/'TA 2010+MKS+SS'!H58*'[3]Tulosalueet '!$G$15</f>
        <v>85835361.80301534</v>
      </c>
      <c r="H16" s="33">
        <f>'TA 2010+MKS+SS'!I50/'TA 2010+MKS+SS'!I58*'[3]Tulosalueet '!$G$21</f>
        <v>27370781.00081151</v>
      </c>
      <c r="I16" s="33">
        <f>'TA 2010+MKS+SS'!J50/'TA 2010+MKS+SS'!J58*'[3]Tulosalueet '!$G$27</f>
        <v>4099869.676639205</v>
      </c>
      <c r="J16" s="33">
        <f>'TA 2010+MKS+SS'!K50/'TA 2010+MKS+SS'!K58*'[3]Tulosalueet '!$G$30</f>
        <v>1285705</v>
      </c>
      <c r="K16" s="33">
        <f>'TA 2010+MKS+SS'!L50/'TA 2010+MKS+SS'!L58*'[3]Tulosalueet '!$G$33</f>
        <v>5318977.990929217</v>
      </c>
    </row>
    <row r="17" spans="1:11" ht="12.75">
      <c r="A17" s="57" t="s">
        <v>79</v>
      </c>
      <c r="B17" s="13" t="s">
        <v>34</v>
      </c>
      <c r="C17" s="14">
        <f>SUM(D17:K17)</f>
        <v>30319766.628635563</v>
      </c>
      <c r="D17" s="33">
        <f>'TA 2010+MKS+SS'!E51/'TA 2010+MKS+SS'!E59*'[3]Tulosalueet '!$G$7</f>
        <v>1659105.9835999997</v>
      </c>
      <c r="E17" s="33">
        <f>'TA 2010+MKS+SS'!F51/'TA 2010+MKS+SS'!F59*'[3]Tulosalueet '!$G$10</f>
        <v>9593245.08002533</v>
      </c>
      <c r="F17" s="33">
        <f>'TA 2010+MKS+SS'!G51/'TA 2010+MKS+SS'!G59*'[3]Tulosalueet '!$G$13</f>
        <v>7657910.248406389</v>
      </c>
      <c r="G17" s="33">
        <f>'TA 2010+MKS+SS'!H51/'TA 2010+MKS+SS'!H59*'[3]Tulosalueet '!$G$16</f>
        <v>1551242.8628563231</v>
      </c>
      <c r="H17" s="33">
        <f>'TA 2010+MKS+SS'!I51/'TA 2010+MKS+SS'!I59*'[3]Tulosalueet '!$G$22</f>
        <v>3755377.6134839673</v>
      </c>
      <c r="I17" s="33">
        <f>'TA 2010+MKS+SS'!J51/'TA 2010+MKS+SS'!J59*'[3]Tulosalueet '!$G$28</f>
        <v>634364.3045915</v>
      </c>
      <c r="J17" s="33">
        <f>'TA 2010+MKS+SS'!K51/'TA 2010+MKS+SS'!K59*'[3]Tulosalueet '!$G$31</f>
        <v>282000</v>
      </c>
      <c r="K17" s="33">
        <f>'TA 2010+MKS+SS'!L51/'TA 2010+MKS+SS'!L59*'[3]Tulosalueet '!$G$34</f>
        <v>5186520.535672053</v>
      </c>
    </row>
    <row r="18" spans="1:11" ht="12.75">
      <c r="A18" s="61"/>
      <c r="B18" s="50" t="s">
        <v>35</v>
      </c>
      <c r="C18" s="17">
        <f>+C16-C17</f>
        <v>183570651.1177138</v>
      </c>
      <c r="D18" s="44">
        <f aca="true" t="shared" si="2" ref="D18:K18">D16-D17</f>
        <v>20489809.077189352</v>
      </c>
      <c r="E18" s="44">
        <f t="shared" si="2"/>
        <v>35702308.14634743</v>
      </c>
      <c r="F18" s="44">
        <f t="shared" si="2"/>
        <v>14877343.739385601</v>
      </c>
      <c r="G18" s="44">
        <f t="shared" si="2"/>
        <v>84284118.94015901</v>
      </c>
      <c r="H18" s="44">
        <f t="shared" si="2"/>
        <v>23615403.387327544</v>
      </c>
      <c r="I18" s="44">
        <f t="shared" si="2"/>
        <v>3465505.3720477046</v>
      </c>
      <c r="J18" s="44">
        <f t="shared" si="2"/>
        <v>1003705</v>
      </c>
      <c r="K18" s="44">
        <f t="shared" si="2"/>
        <v>132457.4552571643</v>
      </c>
    </row>
    <row r="19" spans="1:11" ht="12.75">
      <c r="A19" s="57"/>
      <c r="B19" s="13"/>
      <c r="C19" s="14"/>
      <c r="D19" s="33"/>
      <c r="E19" s="33"/>
      <c r="F19" s="33"/>
      <c r="G19" s="33"/>
      <c r="H19" s="33"/>
      <c r="I19" s="33"/>
      <c r="J19" s="33"/>
      <c r="K19" s="33"/>
    </row>
    <row r="20" spans="1:11" ht="12.75">
      <c r="A20" s="57" t="s">
        <v>30</v>
      </c>
      <c r="B20" s="13" t="s">
        <v>33</v>
      </c>
      <c r="C20" s="14">
        <f>SUM(D20:K20)</f>
        <v>265407873.86062455</v>
      </c>
      <c r="D20" s="33">
        <f>'TA 2010+MKS+SS'!E54/'TA 2010+MKS+SS'!E58*('[3]Tulosalueet '!$G$6+7200000)</f>
        <v>27504654.329443783</v>
      </c>
      <c r="E20" s="33">
        <f>'TA 2010+MKS+SS'!F54/'TA 2010+MKS+SS'!F58*'[3]Tulosalueet '!$G$9</f>
        <v>3355262.855996484</v>
      </c>
      <c r="F20" s="33">
        <f>'TA 2010+MKS+SS'!G54/'TA 2010+MKS+SS'!G58*'[3]Tulosalueet '!$G$12</f>
        <v>10086563.062912416</v>
      </c>
      <c r="G20" s="33">
        <f>'TA 2010+MKS+SS'!H54/'TA 2010+MKS+SS'!H58*'[3]Tulosalueet '!$G$15</f>
        <v>75150406.87354492</v>
      </c>
      <c r="H20" s="33">
        <f>'TA 2010+MKS+SS'!I54/'TA 2010+MKS+SS'!I58*'[3]Tulosalueet '!$G$21</f>
        <v>13158874.25796612</v>
      </c>
      <c r="I20" s="33">
        <f>'TA 2010+MKS+SS'!J54/'TA 2010+MKS+SS'!J58*'[3]Tulosalueet '!$G$27</f>
        <v>136152112.48076084</v>
      </c>
      <c r="J20" s="33">
        <f>'TA 2010+MKS+SS'!K54/'TA 2010+MKS+SS'!K58*'[1]Tulosalueet '!$G31</f>
        <v>0</v>
      </c>
      <c r="K20" s="33">
        <f>'TA 2010+MKS+SS'!L54/'TA 2010+MKS+SS'!L58*'[1]Tulosalueet '!$G34</f>
        <v>0</v>
      </c>
    </row>
    <row r="21" spans="1:11" ht="12.75">
      <c r="A21" s="57" t="s">
        <v>73</v>
      </c>
      <c r="B21" s="13" t="s">
        <v>34</v>
      </c>
      <c r="C21" s="14">
        <f>SUM(D21:K21)</f>
        <v>38934093.01472235</v>
      </c>
      <c r="D21" s="33">
        <f>'TA 2010+MKS+SS'!E55/'TA 2010+MKS+SS'!E59*'[3]Tulosalueet '!$G$7</f>
        <v>2052415.7602000001</v>
      </c>
      <c r="E21" s="33">
        <f>'TA 2010+MKS+SS'!F55/'TA 2010+MKS+SS'!F59*'[3]Tulosalueet '!$G$10</f>
        <v>702372.9309224864</v>
      </c>
      <c r="F21" s="33">
        <f>'TA 2010+MKS+SS'!G55/'TA 2010+MKS+SS'!G59*'[3]Tulosalueet '!$G$13</f>
        <v>624242.5507968056</v>
      </c>
      <c r="G21" s="33">
        <f>'TA 2010+MKS+SS'!H55/'TA 2010+MKS+SS'!H59*'[3]Tulosalueet '!$G$16</f>
        <v>2417304.075620748</v>
      </c>
      <c r="H21" s="33">
        <f>'TA 2010+MKS+SS'!I55/'TA 2010+MKS+SS'!I59*'[3]Tulosalueet '!$G$22</f>
        <v>384527.0232738117</v>
      </c>
      <c r="I21" s="33">
        <f>'TA 2010+MKS+SS'!J55/'TA 2010+MKS+SS'!J59*'[3]Tulosalueet '!$G$28</f>
        <v>32753230.6739085</v>
      </c>
      <c r="J21" s="33">
        <f>'TA 2010+MKS+SS'!K55/'TA 2010+MKS+SS'!K59*'[1]Tulosalueet '!$G32</f>
        <v>0</v>
      </c>
      <c r="K21" s="33">
        <f>'TA 2010+MKS+SS'!L55/'TA 2010+MKS+SS'!L59*'[1]Tulosalueet '!$G35</f>
        <v>0</v>
      </c>
    </row>
    <row r="22" spans="1:11" ht="12.75">
      <c r="A22" s="61"/>
      <c r="B22" s="50" t="s">
        <v>35</v>
      </c>
      <c r="C22" s="17">
        <f>+C20-C21</f>
        <v>226473780.8459022</v>
      </c>
      <c r="D22" s="44">
        <f aca="true" t="shared" si="3" ref="D22:K22">D20-D21</f>
        <v>25452238.56924378</v>
      </c>
      <c r="E22" s="44">
        <f t="shared" si="3"/>
        <v>2652889.9250739976</v>
      </c>
      <c r="F22" s="44">
        <f t="shared" si="3"/>
        <v>9462320.51211561</v>
      </c>
      <c r="G22" s="44">
        <f t="shared" si="3"/>
        <v>72733102.79792416</v>
      </c>
      <c r="H22" s="44">
        <f t="shared" si="3"/>
        <v>12774347.234692309</v>
      </c>
      <c r="I22" s="44">
        <f t="shared" si="3"/>
        <v>103398881.80685234</v>
      </c>
      <c r="J22" s="44">
        <f t="shared" si="3"/>
        <v>0</v>
      </c>
      <c r="K22" s="44">
        <f t="shared" si="3"/>
        <v>0</v>
      </c>
    </row>
    <row r="23" spans="1:11" ht="12.75">
      <c r="A23" s="57"/>
      <c r="B23" s="13"/>
      <c r="C23" s="14"/>
      <c r="D23" s="24"/>
      <c r="E23" s="24"/>
      <c r="F23" s="24"/>
      <c r="G23" s="24"/>
      <c r="H23" s="24"/>
      <c r="I23" s="24"/>
      <c r="J23" s="24"/>
      <c r="K23" s="23"/>
    </row>
    <row r="24" spans="1:11" ht="12.75">
      <c r="A24" s="57" t="s">
        <v>80</v>
      </c>
      <c r="B24" s="13" t="s">
        <v>33</v>
      </c>
      <c r="C24" s="14">
        <f aca="true" t="shared" si="4" ref="C24:K24">+C8+C12+C16+C20</f>
        <v>599344762.6582754</v>
      </c>
      <c r="D24" s="14">
        <f t="shared" si="4"/>
        <v>69443735.26000002</v>
      </c>
      <c r="E24" s="14">
        <f t="shared" si="4"/>
        <v>92526750.00430003</v>
      </c>
      <c r="F24" s="14">
        <f t="shared" si="4"/>
        <v>50563566.04390219</v>
      </c>
      <c r="G24" s="14">
        <f t="shared" si="4"/>
        <v>184788007</v>
      </c>
      <c r="H24" s="14">
        <f t="shared" si="4"/>
        <v>54538301.53633186</v>
      </c>
      <c r="I24" s="14">
        <f t="shared" si="4"/>
        <v>140251982.15740004</v>
      </c>
      <c r="J24" s="14">
        <f t="shared" si="4"/>
        <v>1285705</v>
      </c>
      <c r="K24" s="14">
        <f t="shared" si="4"/>
        <v>5946715.656341317</v>
      </c>
    </row>
    <row r="25" spans="1:11" ht="12.75">
      <c r="A25" s="56"/>
      <c r="B25" s="13" t="s">
        <v>34</v>
      </c>
      <c r="C25" s="14">
        <f aca="true" t="shared" si="5" ref="C25:K25">+C9+C13+C17+C21</f>
        <v>81573583.1307255</v>
      </c>
      <c r="D25" s="14">
        <f t="shared" si="5"/>
        <v>4934878</v>
      </c>
      <c r="E25" s="14">
        <f t="shared" si="5"/>
        <v>19510362.13003891</v>
      </c>
      <c r="F25" s="14">
        <f t="shared" si="5"/>
        <v>8906395.35</v>
      </c>
      <c r="G25" s="14">
        <f t="shared" si="5"/>
        <v>4340932.31</v>
      </c>
      <c r="H25" s="14">
        <f t="shared" si="5"/>
        <v>4435263.539781187</v>
      </c>
      <c r="I25" s="14">
        <f t="shared" si="5"/>
        <v>33387594.978499997</v>
      </c>
      <c r="J25" s="14">
        <f t="shared" si="5"/>
        <v>282000</v>
      </c>
      <c r="K25" s="14">
        <f t="shared" si="5"/>
        <v>5776156.82240542</v>
      </c>
    </row>
    <row r="26" spans="1:11" ht="12.75">
      <c r="A26" s="59"/>
      <c r="B26" s="50" t="s">
        <v>35</v>
      </c>
      <c r="C26" s="17">
        <f aca="true" t="shared" si="6" ref="C26:K26">+C24-C25</f>
        <v>517771179.52754986</v>
      </c>
      <c r="D26" s="17">
        <f t="shared" si="6"/>
        <v>64508857.26000002</v>
      </c>
      <c r="E26" s="17">
        <f t="shared" si="6"/>
        <v>73016387.87426111</v>
      </c>
      <c r="F26" s="17">
        <f t="shared" si="6"/>
        <v>41657170.69390219</v>
      </c>
      <c r="G26" s="17">
        <f t="shared" si="6"/>
        <v>180447074.69</v>
      </c>
      <c r="H26" s="17">
        <f t="shared" si="6"/>
        <v>50103037.99655068</v>
      </c>
      <c r="I26" s="17">
        <f t="shared" si="6"/>
        <v>106864387.17890005</v>
      </c>
      <c r="J26" s="17">
        <f t="shared" si="6"/>
        <v>1003705</v>
      </c>
      <c r="K26" s="17">
        <f t="shared" si="6"/>
        <v>170558.83393589687</v>
      </c>
    </row>
  </sheetData>
  <printOptions/>
  <pageMargins left="0.75" right="0.75" top="1" bottom="1" header="0.4921259845" footer="0.4921259845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6"/>
  <sheetViews>
    <sheetView workbookViewId="0" topLeftCell="A1">
      <selection activeCell="G38" sqref="G38"/>
    </sheetView>
  </sheetViews>
  <sheetFormatPr defaultColWidth="9.140625" defaultRowHeight="12.75"/>
  <cols>
    <col min="1" max="1" width="28.28125" style="0" customWidth="1"/>
    <col min="2" max="2" width="5.7109375" style="0" customWidth="1"/>
    <col min="3" max="12" width="15.7109375" style="0" customWidth="1"/>
  </cols>
  <sheetData>
    <row r="2" ht="12.75">
      <c r="C2" t="s">
        <v>95</v>
      </c>
    </row>
    <row r="3" spans="1:12" ht="12.75">
      <c r="A3" s="76" t="s">
        <v>36</v>
      </c>
      <c r="B3" s="76"/>
      <c r="C3" s="40"/>
      <c r="D3" s="40"/>
      <c r="E3" s="70"/>
      <c r="F3" s="71"/>
      <c r="G3" s="72"/>
      <c r="H3" s="71"/>
      <c r="I3" s="65"/>
      <c r="J3" s="73"/>
      <c r="K3" s="73"/>
      <c r="L3" s="40"/>
    </row>
    <row r="4" spans="1:12" ht="12.75">
      <c r="A4" s="57"/>
      <c r="B4" s="77"/>
      <c r="C4" s="13" t="s">
        <v>38</v>
      </c>
      <c r="D4" s="31" t="s">
        <v>39</v>
      </c>
      <c r="E4" s="31" t="s">
        <v>42</v>
      </c>
      <c r="F4" s="74" t="s">
        <v>45</v>
      </c>
      <c r="G4" s="31" t="s">
        <v>48</v>
      </c>
      <c r="H4" s="74" t="s">
        <v>51</v>
      </c>
      <c r="I4" s="31" t="s">
        <v>53</v>
      </c>
      <c r="J4" s="75" t="s">
        <v>54</v>
      </c>
      <c r="K4" s="13" t="s">
        <v>57</v>
      </c>
      <c r="L4" s="13" t="s">
        <v>59</v>
      </c>
    </row>
    <row r="5" spans="1:12" ht="12.75">
      <c r="A5" s="57" t="s">
        <v>96</v>
      </c>
      <c r="B5" s="77"/>
      <c r="C5" s="13" t="s">
        <v>72</v>
      </c>
      <c r="D5" s="32" t="s">
        <v>40</v>
      </c>
      <c r="E5" s="13" t="s">
        <v>43</v>
      </c>
      <c r="F5" s="12" t="s">
        <v>46</v>
      </c>
      <c r="G5" s="13" t="s">
        <v>50</v>
      </c>
      <c r="H5" s="12" t="s">
        <v>52</v>
      </c>
      <c r="I5" s="13" t="s">
        <v>47</v>
      </c>
      <c r="J5" s="12" t="s">
        <v>55</v>
      </c>
      <c r="K5" s="13" t="s">
        <v>58</v>
      </c>
      <c r="L5" s="13" t="s">
        <v>60</v>
      </c>
    </row>
    <row r="6" spans="1:12" ht="12.75">
      <c r="A6" s="61"/>
      <c r="B6" s="78"/>
      <c r="C6" s="47"/>
      <c r="D6" s="49" t="s">
        <v>41</v>
      </c>
      <c r="E6" s="50" t="s">
        <v>44</v>
      </c>
      <c r="F6" s="50" t="s">
        <v>47</v>
      </c>
      <c r="G6" s="50" t="s">
        <v>49</v>
      </c>
      <c r="H6" s="29" t="s">
        <v>44</v>
      </c>
      <c r="I6" s="50"/>
      <c r="J6" s="29" t="s">
        <v>56</v>
      </c>
      <c r="K6" s="50" t="s">
        <v>47</v>
      </c>
      <c r="L6" s="50" t="s">
        <v>65</v>
      </c>
    </row>
    <row r="7" spans="1:12" ht="12.75">
      <c r="A7" s="60"/>
      <c r="B7" s="79"/>
      <c r="C7" s="25"/>
      <c r="D7" s="15"/>
      <c r="E7" s="2"/>
      <c r="F7" s="45"/>
      <c r="G7" s="2"/>
      <c r="H7" s="45"/>
      <c r="I7" s="2"/>
      <c r="J7" s="26"/>
      <c r="K7" s="26"/>
      <c r="L7" s="15"/>
    </row>
    <row r="8" spans="1:12" ht="12.75">
      <c r="A8" s="57" t="s">
        <v>27</v>
      </c>
      <c r="B8" s="13" t="s">
        <v>33</v>
      </c>
      <c r="C8" s="14">
        <f>SUM(D8:L8)</f>
        <v>151588966.38138002</v>
      </c>
      <c r="D8" s="33">
        <f>'Joulukuun uusjako'!E42/'Joulukuun uusjako'!E58*'[1]Tulosalueet '!$G7</f>
        <v>15928934.422904076</v>
      </c>
      <c r="E8" s="33">
        <f>'Joulukuun uusjako'!F42/'Joulukuun uusjako'!F58*'[1]Tulosalueet '!$G10</f>
        <v>33698100.41496459</v>
      </c>
      <c r="F8" s="33">
        <f>'Joulukuun uusjako'!G42/'Joulukuun uusjako'!G58*'[1]Tulosalueet '!$G13</f>
        <v>12567680.154785844</v>
      </c>
      <c r="G8" s="33">
        <f>'Joulukuun uusjako'!H42/'Joulukuun uusjako'!H58*'[1]Tulosalueet '!$G16</f>
        <v>13455084.009120615</v>
      </c>
      <c r="H8" s="33">
        <f>'Joulukuun uusjako'!I42/'Joulukuun uusjako'!I58*'[1]Tulosalueet '!$G22</f>
        <v>8338386.379604887</v>
      </c>
      <c r="I8" s="33">
        <f>'Joulukuun uusjako'!J42/'Joulukuun uusjako'!J58*'[1]Tulosalueet '!$G28</f>
        <v>0</v>
      </c>
      <c r="J8" s="33">
        <f>'Joulukuun uusjako'!K42/'Joulukuun uusjako'!K58*'[1]Tulosalueet '!$G31</f>
        <v>0</v>
      </c>
      <c r="K8" s="33">
        <f>'Joulukuun uusjako'!L42/'Joulukuun uusjako'!L58*'[1]Tulosalueet '!$G34</f>
        <v>0</v>
      </c>
      <c r="L8" s="33">
        <f>'Joulukuun uusjako'!M42/'Joulukuun uusjako'!M58*'[1]Tulosalueet '!$G37</f>
        <v>67600781</v>
      </c>
    </row>
    <row r="9" spans="1:12" ht="12.75">
      <c r="A9" s="57" t="s">
        <v>28</v>
      </c>
      <c r="B9" s="13" t="s">
        <v>34</v>
      </c>
      <c r="C9" s="14">
        <f>SUM(D9:L9)</f>
        <v>17240271.111334935</v>
      </c>
      <c r="D9" s="33">
        <f>'Joulukuun uusjako'!E43/'Joulukuun uusjako'!E59*'[1]Tulosalueet '!$G8</f>
        <v>831071.1486</v>
      </c>
      <c r="E9" s="33">
        <f>'Joulukuun uusjako'!F43/'Joulukuun uusjako'!F59*'[1]Tulosalueet '!$G11</f>
        <v>7357138.002542008</v>
      </c>
      <c r="F9" s="33">
        <f>'Joulukuun uusjako'!G43/'Joulukuun uusjako'!G59*'[1]Tulosalueet '!$G14</f>
        <v>0</v>
      </c>
      <c r="G9" s="33">
        <f>'Joulukuun uusjako'!H43/'Joulukuun uusjako'!H59*'[1]Tulosalueet '!$G17</f>
        <v>129249.73079124873</v>
      </c>
      <c r="H9" s="33">
        <f>'Joulukuun uusjako'!I43/'Joulukuun uusjako'!I59*'[1]Tulosalueet '!$G23</f>
        <v>241658.2294016793</v>
      </c>
      <c r="I9" s="33">
        <f>'Joulukuun uusjako'!J43/'Joulukuun uusjako'!J59*'[1]Tulosalueet '!$G29</f>
        <v>0</v>
      </c>
      <c r="J9" s="33">
        <f>'Joulukuun uusjako'!K43/'Joulukuun uusjako'!K59*'[1]Tulosalueet '!$G32</f>
        <v>0</v>
      </c>
      <c r="K9" s="33">
        <f>'Joulukuun uusjako'!L43/'Joulukuun uusjako'!L59*'[1]Tulosalueet '!$G35</f>
        <v>0</v>
      </c>
      <c r="L9" s="33">
        <f>'Joulukuun uusjako'!M43/'Joulukuun uusjako'!M59*'[1]Tulosalueet '!$G38</f>
        <v>8681154</v>
      </c>
    </row>
    <row r="10" spans="1:12" ht="12.75">
      <c r="A10" s="61"/>
      <c r="B10" s="50" t="s">
        <v>35</v>
      </c>
      <c r="C10" s="17">
        <f>+C8-C9</f>
        <v>134348695.2700451</v>
      </c>
      <c r="D10" s="44">
        <f>+D8-D9</f>
        <v>15097863.274304077</v>
      </c>
      <c r="E10" s="44">
        <f aca="true" t="shared" si="0" ref="E10:L10">+E8-E9</f>
        <v>26340962.41242258</v>
      </c>
      <c r="F10" s="44">
        <f t="shared" si="0"/>
        <v>12567680.154785844</v>
      </c>
      <c r="G10" s="44">
        <f t="shared" si="0"/>
        <v>13325834.278329367</v>
      </c>
      <c r="H10" s="44">
        <f t="shared" si="0"/>
        <v>8096728.1502032075</v>
      </c>
      <c r="I10" s="44">
        <f t="shared" si="0"/>
        <v>0</v>
      </c>
      <c r="J10" s="44">
        <f t="shared" si="0"/>
        <v>0</v>
      </c>
      <c r="K10" s="44">
        <f t="shared" si="0"/>
        <v>0</v>
      </c>
      <c r="L10" s="44">
        <f t="shared" si="0"/>
        <v>58919627</v>
      </c>
    </row>
    <row r="11" spans="1:12" ht="12.75">
      <c r="A11" s="57"/>
      <c r="B11" s="13"/>
      <c r="C11" s="14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2.75">
      <c r="A12" s="57" t="s">
        <v>31</v>
      </c>
      <c r="B12" s="13" t="s">
        <v>33</v>
      </c>
      <c r="C12" s="14">
        <f>SUM(D12:L12)</f>
        <v>35771933.743985884</v>
      </c>
      <c r="D12" s="33">
        <f>'Joulukuun uusjako'!E46/'Joulukuun uusjako'!E58*'[1]Tulosalueet '!$G7</f>
        <v>3748651.5063743643</v>
      </c>
      <c r="E12" s="33">
        <f>'Joulukuun uusjako'!F46/'Joulukuun uusjako'!F58*'[1]Tulosalueet '!$G10</f>
        <v>8928817.924740251</v>
      </c>
      <c r="F12" s="33">
        <f>'Joulukuun uusjako'!G46/'Joulukuun uusjako'!G58*'[1]Tulosalueet '!$G13</f>
        <v>5131075.748242799</v>
      </c>
      <c r="G12" s="33">
        <f>'Joulukuun uusjako'!H46/'Joulukuun uusjako'!H58*'[1]Tulosalueet '!$G16</f>
        <v>9928778.892525818</v>
      </c>
      <c r="H12" s="33">
        <f>'Joulukuun uusjako'!I46/'Joulukuun uusjako'!I58*'[1]Tulosalueet '!$G22</f>
        <v>7408517.708509855</v>
      </c>
      <c r="I12" s="33">
        <f>'Joulukuun uusjako'!J46/'Joulukuun uusjako'!J58*'[1]Tulosalueet '!$G28</f>
        <v>0</v>
      </c>
      <c r="J12" s="33">
        <f>'Joulukuun uusjako'!K46/'Joulukuun uusjako'!K58*'[1]Tulosalueet '!$G31</f>
        <v>0</v>
      </c>
      <c r="K12" s="33">
        <f>'Joulukuun uusjako'!L46/'Joulukuun uusjako'!L58*'[1]Tulosalueet '!$G34</f>
        <v>626091.9635927884</v>
      </c>
      <c r="L12" s="33">
        <f>'Joulukuun uusjako'!M46/'Joulukuun uusjako'!M58*'[1]Tulosalueet '!$G37</f>
        <v>0</v>
      </c>
    </row>
    <row r="13" spans="1:12" ht="12.75">
      <c r="A13" s="57" t="s">
        <v>32</v>
      </c>
      <c r="B13" s="13" t="s">
        <v>34</v>
      </c>
      <c r="C13" s="14">
        <f>SUM(D13:L13)</f>
        <v>3747720.5356058264</v>
      </c>
      <c r="D13" s="33">
        <f>'Joulukuun uusjako'!E47/'Joulukuun uusjako'!E59*'[1]Tulosalueet '!$G8</f>
        <v>180330.60759999996</v>
      </c>
      <c r="E13" s="33">
        <f>'Joulukuun uusjako'!F47/'Joulukuun uusjako'!F59*'[1]Tulosalueet '!$G11</f>
        <v>1926261.0006655536</v>
      </c>
      <c r="F13" s="33">
        <f>'Joulukuun uusjako'!G47/'Joulukuun uusjako'!G59*'[1]Tulosalueet '!$G14</f>
        <v>579905.130028678</v>
      </c>
      <c r="G13" s="33">
        <f>'Joulukuun uusjako'!H47/'Joulukuun uusjako'!H59*'[1]Tulosalueet '!$G17</f>
        <v>222304.35530278517</v>
      </c>
      <c r="H13" s="33">
        <f>'Joulukuun uusjako'!I47/'Joulukuun uusjako'!I59*'[1]Tulosalueet '!$G23</f>
        <v>250951.4913959096</v>
      </c>
      <c r="I13" s="33">
        <f>'Joulukuun uusjako'!J47/'Joulukuun uusjako'!J59*'[1]Tulosalueet '!$G29</f>
        <v>0</v>
      </c>
      <c r="J13" s="33">
        <f>'Joulukuun uusjako'!K47/'Joulukuun uusjako'!K59*'[1]Tulosalueet '!$G32</f>
        <v>0</v>
      </c>
      <c r="K13" s="33">
        <f>'Joulukuun uusjako'!L47/'Joulukuun uusjako'!L59*'[1]Tulosalueet '!$G35</f>
        <v>587967.9506128998</v>
      </c>
      <c r="L13" s="33">
        <f>'Joulukuun uusjako'!M47/'Joulukuun uusjako'!M59*'[1]Tulosalueet '!$G38</f>
        <v>0</v>
      </c>
    </row>
    <row r="14" spans="1:12" ht="12.75">
      <c r="A14" s="61"/>
      <c r="B14" s="50" t="s">
        <v>35</v>
      </c>
      <c r="C14" s="17">
        <f>+C12-C13</f>
        <v>32024213.20838006</v>
      </c>
      <c r="D14" s="44">
        <f>D12-D13</f>
        <v>3568320.8987743645</v>
      </c>
      <c r="E14" s="44">
        <f aca="true" t="shared" si="1" ref="E14:L14">E12-E13</f>
        <v>7002556.924074697</v>
      </c>
      <c r="F14" s="44">
        <f t="shared" si="1"/>
        <v>4551170.618214121</v>
      </c>
      <c r="G14" s="44">
        <f t="shared" si="1"/>
        <v>9706474.537223034</v>
      </c>
      <c r="H14" s="44">
        <f t="shared" si="1"/>
        <v>7157566.217113946</v>
      </c>
      <c r="I14" s="44">
        <f t="shared" si="1"/>
        <v>0</v>
      </c>
      <c r="J14" s="44">
        <f t="shared" si="1"/>
        <v>0</v>
      </c>
      <c r="K14" s="44">
        <f t="shared" si="1"/>
        <v>38124.01297988859</v>
      </c>
      <c r="L14" s="44">
        <f t="shared" si="1"/>
        <v>0</v>
      </c>
    </row>
    <row r="15" spans="1:12" ht="12.75">
      <c r="A15" s="57"/>
      <c r="B15" s="13"/>
      <c r="C15" s="14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12.75">
      <c r="A16" s="57" t="s">
        <v>29</v>
      </c>
      <c r="B16" s="13" t="s">
        <v>33</v>
      </c>
      <c r="C16" s="14">
        <f>SUM(D16:L16)</f>
        <v>207138769.88402992</v>
      </c>
      <c r="D16" s="33">
        <f>'Joulukuun uusjako'!E50/'Joulukuun uusjako'!E58*'[1]Tulosalueet '!$G7</f>
        <v>21977781.53526957</v>
      </c>
      <c r="E16" s="33">
        <f>'Joulukuun uusjako'!F50/'Joulukuun uusjako'!F58*'[1]Tulosalueet '!$G$10</f>
        <v>44131525.02394037</v>
      </c>
      <c r="F16" s="33">
        <f>'Joulukuun uusjako'!G50/'Joulukuun uusjako'!G58*'[1]Tulosalueet '!$G13</f>
        <v>22317648.859331254</v>
      </c>
      <c r="G16" s="33">
        <f>'Joulukuun uusjako'!H50/'Joulukuun uusjako'!H58*'[1]Tulosalueet '!$G16</f>
        <v>84364257.13425684</v>
      </c>
      <c r="H16" s="33">
        <f>'Joulukuun uusjako'!I50/'Joulukuun uusjako'!I58*'[1]Tulosalueet '!$G22</f>
        <v>23757299.55001024</v>
      </c>
      <c r="I16" s="33">
        <f>'Joulukuun uusjako'!J50/'Joulukuun uusjako'!J58*'[1]Tulosalueet '!$G28</f>
        <v>3999553.4625543808</v>
      </c>
      <c r="J16" s="33">
        <f>'Joulukuun uusjako'!K50/'Joulukuun uusjako'!K58*'[1]Tulosalueet '!$G31</f>
        <v>1285670.7702000001</v>
      </c>
      <c r="K16" s="33">
        <f>'Joulukuun uusjako'!L50/'Joulukuun uusjako'!L58*'[1]Tulosalueet '!$G34</f>
        <v>5305033.548467248</v>
      </c>
      <c r="L16" s="33">
        <f>'Joulukuun uusjako'!M50/'Joulukuun uusjako'!M58*'[1]Tulosalueet '!$G37</f>
        <v>0</v>
      </c>
    </row>
    <row r="17" spans="1:12" ht="12.75">
      <c r="A17" s="57" t="s">
        <v>79</v>
      </c>
      <c r="B17" s="13" t="s">
        <v>34</v>
      </c>
      <c r="C17" s="14">
        <f>SUM(D17:L17)</f>
        <v>29153452.22883953</v>
      </c>
      <c r="D17" s="33">
        <f>'Joulukuun uusjako'!E51/'Joulukuun uusjako'!E59*'[1]Tulosalueet '!$G8</f>
        <v>1371654.9835999997</v>
      </c>
      <c r="E17" s="33">
        <f>'Joulukuun uusjako'!F51/'Joulukuun uusjako'!F59*'[1]Tulosalueet '!$G$11</f>
        <v>9664720.003339315</v>
      </c>
      <c r="F17" s="33">
        <f>'Joulukuun uusjako'!G51/'Joulukuun uusjako'!G59*'[1]Tulosalueet '!$G14</f>
        <v>7110330.335335082</v>
      </c>
      <c r="G17" s="33">
        <f>'Joulukuun uusjako'!H51/'Joulukuun uusjako'!H59*'[1]Tulosalueet '!$G17</f>
        <v>1464466.1382134056</v>
      </c>
      <c r="H17" s="33">
        <f>'Joulukuun uusjako'!I51/'Joulukuun uusjako'!I59*'[1]Tulosalueet '!$G23</f>
        <v>3513339.9752865583</v>
      </c>
      <c r="I17" s="33">
        <f>'Joulukuun uusjako'!J51/'Joulukuun uusjako'!J59*'[1]Tulosalueet '!$G29</f>
        <v>575095.1675774</v>
      </c>
      <c r="J17" s="33">
        <f>'Joulukuun uusjako'!K51/'Joulukuun uusjako'!K59*'[1]Tulosalueet '!$G32</f>
        <v>282000</v>
      </c>
      <c r="K17" s="33">
        <f>'Joulukuun uusjako'!L51/'Joulukuun uusjako'!L59*'[1]Tulosalueet '!$G35</f>
        <v>5171845.625487768</v>
      </c>
      <c r="L17" s="33">
        <f>'Joulukuun uusjako'!M51/'Joulukuun uusjako'!M59*'[1]Tulosalueet '!$G38</f>
        <v>0</v>
      </c>
    </row>
    <row r="18" spans="1:12" ht="12.75">
      <c r="A18" s="61"/>
      <c r="B18" s="50" t="s">
        <v>35</v>
      </c>
      <c r="C18" s="17">
        <f>+C16-C17</f>
        <v>177985317.6551904</v>
      </c>
      <c r="D18" s="44">
        <f>D16-D17</f>
        <v>20606126.55166957</v>
      </c>
      <c r="E18" s="44">
        <f aca="true" t="shared" si="2" ref="E18:L18">E16-E17</f>
        <v>34466805.02060106</v>
      </c>
      <c r="F18" s="44">
        <f t="shared" si="2"/>
        <v>15207318.52399617</v>
      </c>
      <c r="G18" s="44">
        <f t="shared" si="2"/>
        <v>82899790.99604343</v>
      </c>
      <c r="H18" s="44">
        <f t="shared" si="2"/>
        <v>20243959.574723683</v>
      </c>
      <c r="I18" s="44">
        <f t="shared" si="2"/>
        <v>3424458.294976981</v>
      </c>
      <c r="J18" s="44">
        <f t="shared" si="2"/>
        <v>1003670.7702000001</v>
      </c>
      <c r="K18" s="44">
        <f t="shared" si="2"/>
        <v>133187.92297947966</v>
      </c>
      <c r="L18" s="44">
        <f t="shared" si="2"/>
        <v>0</v>
      </c>
    </row>
    <row r="19" spans="1:12" ht="12.75">
      <c r="A19" s="57"/>
      <c r="B19" s="13"/>
      <c r="C19" s="14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2.75">
      <c r="A20" s="57" t="s">
        <v>30</v>
      </c>
      <c r="B20" s="13" t="s">
        <v>33</v>
      </c>
      <c r="C20" s="14">
        <f>SUM(D20:L20)</f>
        <v>261641321.60093558</v>
      </c>
      <c r="D20" s="33">
        <f>'Joulukuun uusjako'!E54/'Joulukuun uusjako'!E58*'[1]Tulosalueet '!$G7</f>
        <v>27408307.47545199</v>
      </c>
      <c r="E20" s="33">
        <f>'Joulukuun uusjako'!F54/'Joulukuun uusjako'!F58*'[1]Tulosalueet '!$G10</f>
        <v>3259748.6363547957</v>
      </c>
      <c r="F20" s="33">
        <f>'Joulukuun uusjako'!G54/'Joulukuun uusjako'!G58*'[1]Tulosalueet '!$G13</f>
        <v>9949956.25112544</v>
      </c>
      <c r="G20" s="33">
        <f>'Joulukuun uusjako'!H54/'Joulukuun uusjako'!H58*'[1]Tulosalueet '!$G16</f>
        <v>73788170.81409673</v>
      </c>
      <c r="H20" s="33">
        <f>'Joulukuun uusjako'!I54/'Joulukuun uusjako'!I58*'[1]Tulosalueet '!$G22</f>
        <v>14581707.289760942</v>
      </c>
      <c r="I20" s="33">
        <f>'Joulukuun uusjako'!J54/'Joulukuun uusjako'!J58*'[1]Tulosalueet '!$G28</f>
        <v>132653431.13414566</v>
      </c>
      <c r="J20" s="33">
        <f>'Joulukuun uusjako'!K54/'Joulukuun uusjako'!K58*'[1]Tulosalueet '!$G31</f>
        <v>0</v>
      </c>
      <c r="K20" s="33">
        <f>'Joulukuun uusjako'!L54/'Joulukuun uusjako'!L58*'[1]Tulosalueet '!$G34</f>
        <v>0</v>
      </c>
      <c r="L20" s="33">
        <f>'Joulukuun uusjako'!M54/'Joulukuun uusjako'!M58*'[1]Tulosalueet '!$G37</f>
        <v>0</v>
      </c>
    </row>
    <row r="21" spans="1:12" ht="12.75">
      <c r="A21" s="57" t="s">
        <v>73</v>
      </c>
      <c r="B21" s="13" t="s">
        <v>34</v>
      </c>
      <c r="C21" s="14">
        <f>SUM(D21:L21)</f>
        <v>35600811.080094</v>
      </c>
      <c r="D21" s="33">
        <f>'Joulukuun uusjako'!E55/'Joulukuun uusjako'!E59*'[1]Tulosalueet '!$G8</f>
        <v>1696821.2602000001</v>
      </c>
      <c r="E21" s="33">
        <f>'Joulukuun uusjako'!F55/'Joulukuun uusjako'!F59*'[1]Tulosalueet '!$G11</f>
        <v>707605.9934531238</v>
      </c>
      <c r="F21" s="33">
        <f>'Joulukuun uusjako'!G55/'Joulukuun uusjako'!G59*'[1]Tulosalueet '!$G14</f>
        <v>579905.130028678</v>
      </c>
      <c r="G21" s="33">
        <f>'Joulukuun uusjako'!H55/'Joulukuun uusjako'!H59*'[1]Tulosalueet '!$G17</f>
        <v>2282079.7756925602</v>
      </c>
      <c r="H21" s="33">
        <f>'Joulukuun uusjako'!I55/'Joulukuun uusjako'!I59*'[1]Tulosalueet '!$G23</f>
        <v>641327.3736970389</v>
      </c>
      <c r="I21" s="33">
        <f>'Joulukuun uusjako'!J55/'Joulukuun uusjako'!J59*'[1]Tulosalueet '!$G29</f>
        <v>29693071.5470226</v>
      </c>
      <c r="J21" s="33">
        <f>'Joulukuun uusjako'!K55/'Joulukuun uusjako'!K59*'[1]Tulosalueet '!$G32</f>
        <v>0</v>
      </c>
      <c r="K21" s="33">
        <f>'Joulukuun uusjako'!L55/'Joulukuun uusjako'!L59*'[1]Tulosalueet '!$G35</f>
        <v>0</v>
      </c>
      <c r="L21" s="33">
        <f>'Joulukuun uusjako'!M55/'Joulukuun uusjako'!M59*'[1]Tulosalueet '!$G38</f>
        <v>0</v>
      </c>
    </row>
    <row r="22" spans="1:12" ht="12.75">
      <c r="A22" s="61"/>
      <c r="B22" s="50" t="s">
        <v>35</v>
      </c>
      <c r="C22" s="17">
        <f>+C20-C21</f>
        <v>226040510.52084157</v>
      </c>
      <c r="D22" s="44">
        <f>D20-D21</f>
        <v>25711486.21525199</v>
      </c>
      <c r="E22" s="44">
        <f aca="true" t="shared" si="3" ref="E22:L22">E20-E21</f>
        <v>2552142.642901672</v>
      </c>
      <c r="F22" s="44">
        <f t="shared" si="3"/>
        <v>9370051.121096762</v>
      </c>
      <c r="G22" s="44">
        <f t="shared" si="3"/>
        <v>71506091.03840417</v>
      </c>
      <c r="H22" s="44">
        <f t="shared" si="3"/>
        <v>13940379.916063903</v>
      </c>
      <c r="I22" s="44">
        <f t="shared" si="3"/>
        <v>102960359.58712307</v>
      </c>
      <c r="J22" s="44">
        <f t="shared" si="3"/>
        <v>0</v>
      </c>
      <c r="K22" s="44">
        <f t="shared" si="3"/>
        <v>0</v>
      </c>
      <c r="L22" s="44">
        <f t="shared" si="3"/>
        <v>0</v>
      </c>
    </row>
    <row r="23" spans="1:12" ht="12.75">
      <c r="A23" s="57"/>
      <c r="B23" s="13"/>
      <c r="C23" s="1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2.75">
      <c r="A24" s="57" t="s">
        <v>80</v>
      </c>
      <c r="B24" s="13" t="s">
        <v>33</v>
      </c>
      <c r="C24" s="14">
        <f>+C8+C12+C16+C20</f>
        <v>656140991.6103314</v>
      </c>
      <c r="D24" s="14">
        <f>+D8+D12+D16+D20</f>
        <v>69063674.94</v>
      </c>
      <c r="E24" s="14">
        <f aca="true" t="shared" si="4" ref="E24:L24">+E8+E12+E16+E20</f>
        <v>90018192</v>
      </c>
      <c r="F24" s="14">
        <f t="shared" si="4"/>
        <v>49966361.01348534</v>
      </c>
      <c r="G24" s="14">
        <f t="shared" si="4"/>
        <v>181536290.85000002</v>
      </c>
      <c r="H24" s="14">
        <f t="shared" si="4"/>
        <v>54085910.92788593</v>
      </c>
      <c r="I24" s="14">
        <f t="shared" si="4"/>
        <v>136652984.59670004</v>
      </c>
      <c r="J24" s="14">
        <f t="shared" si="4"/>
        <v>1285670.7702000001</v>
      </c>
      <c r="K24" s="14">
        <f t="shared" si="4"/>
        <v>5931125.512060036</v>
      </c>
      <c r="L24" s="14">
        <f t="shared" si="4"/>
        <v>67600781</v>
      </c>
    </row>
    <row r="25" spans="1:12" ht="12.75">
      <c r="A25" s="56"/>
      <c r="B25" s="13" t="s">
        <v>34</v>
      </c>
      <c r="C25" s="14">
        <f>+C9+C13+C17+C21</f>
        <v>85742254.9558743</v>
      </c>
      <c r="D25" s="14">
        <f>+D9+D13+D17+D21</f>
        <v>4079878</v>
      </c>
      <c r="E25" s="14">
        <f aca="true" t="shared" si="5" ref="E25:L25">+E9+E13+E17+E21</f>
        <v>19655725</v>
      </c>
      <c r="F25" s="14">
        <f t="shared" si="5"/>
        <v>8270140.595392439</v>
      </c>
      <c r="G25" s="14">
        <f t="shared" si="5"/>
        <v>4098100</v>
      </c>
      <c r="H25" s="14">
        <f t="shared" si="5"/>
        <v>4647277.069781186</v>
      </c>
      <c r="I25" s="14">
        <f t="shared" si="5"/>
        <v>30268166.7146</v>
      </c>
      <c r="J25" s="14">
        <f t="shared" si="5"/>
        <v>282000</v>
      </c>
      <c r="K25" s="14">
        <f t="shared" si="5"/>
        <v>5759813.576100668</v>
      </c>
      <c r="L25" s="14">
        <f t="shared" si="5"/>
        <v>8681154</v>
      </c>
    </row>
    <row r="26" spans="1:12" ht="12.75">
      <c r="A26" s="59"/>
      <c r="B26" s="50" t="s">
        <v>35</v>
      </c>
      <c r="C26" s="17">
        <f aca="true" t="shared" si="6" ref="C26:L26">+C24-C25</f>
        <v>570398736.6544571</v>
      </c>
      <c r="D26" s="17">
        <f t="shared" si="6"/>
        <v>64983796.94</v>
      </c>
      <c r="E26" s="17">
        <f t="shared" si="6"/>
        <v>70362467</v>
      </c>
      <c r="F26" s="17">
        <f t="shared" si="6"/>
        <v>41696220.41809291</v>
      </c>
      <c r="G26" s="17">
        <f t="shared" si="6"/>
        <v>177438190.85000002</v>
      </c>
      <c r="H26" s="17">
        <f t="shared" si="6"/>
        <v>49438633.85810474</v>
      </c>
      <c r="I26" s="17">
        <f t="shared" si="6"/>
        <v>106384817.88210005</v>
      </c>
      <c r="J26" s="17">
        <f t="shared" si="6"/>
        <v>1003670.7702000001</v>
      </c>
      <c r="K26" s="17">
        <f t="shared" si="6"/>
        <v>171311.935959368</v>
      </c>
      <c r="L26" s="17">
        <f t="shared" si="6"/>
        <v>58919627</v>
      </c>
    </row>
  </sheetData>
  <printOptions/>
  <pageMargins left="0.75" right="0.75" top="1" bottom="1" header="0.4921259845" footer="0.4921259845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workbookViewId="0" topLeftCell="A1">
      <pane xSplit="2" ySplit="10" topLeftCell="C4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L5" sqref="L5:L32"/>
    </sheetView>
  </sheetViews>
  <sheetFormatPr defaultColWidth="9.140625" defaultRowHeight="12.75"/>
  <cols>
    <col min="1" max="1" width="27.7109375" style="0" customWidth="1"/>
    <col min="2" max="2" width="5.8515625" style="0" customWidth="1"/>
    <col min="3" max="3" width="15.00390625" style="0" customWidth="1"/>
    <col min="4" max="4" width="13.7109375" style="2" hidden="1" customWidth="1"/>
    <col min="5" max="5" width="13.140625" style="0" customWidth="1"/>
    <col min="6" max="6" width="13.00390625" style="4" customWidth="1"/>
    <col min="7" max="7" width="13.8515625" style="0" customWidth="1"/>
    <col min="8" max="8" width="13.28125" style="5" customWidth="1"/>
    <col min="9" max="10" width="12.57421875" style="5" customWidth="1"/>
    <col min="11" max="11" width="13.140625" style="0" customWidth="1"/>
    <col min="12" max="12" width="13.8515625" style="0" customWidth="1"/>
    <col min="13" max="13" width="11.140625" style="0" bestFit="1" customWidth="1"/>
  </cols>
  <sheetData>
    <row r="1" spans="1:10" ht="18.75" customHeight="1">
      <c r="A1" s="1" t="s">
        <v>37</v>
      </c>
      <c r="B1" s="1"/>
      <c r="D1" s="3"/>
      <c r="F1"/>
      <c r="H1"/>
      <c r="I1" s="10" t="s">
        <v>64</v>
      </c>
      <c r="J1" s="2"/>
    </row>
    <row r="2" spans="1:9" ht="15.75">
      <c r="A2" s="1" t="s">
        <v>26</v>
      </c>
      <c r="B2" s="1"/>
      <c r="F2"/>
      <c r="G2" s="4" t="s">
        <v>102</v>
      </c>
      <c r="H2"/>
      <c r="I2"/>
    </row>
    <row r="3" spans="1:9" ht="18.75" customHeight="1">
      <c r="A3" s="1" t="s">
        <v>81</v>
      </c>
      <c r="B3" s="6"/>
      <c r="D3" s="7"/>
      <c r="F3"/>
      <c r="H3"/>
      <c r="I3"/>
    </row>
    <row r="4" spans="1:12" ht="13.5" customHeight="1" hidden="1">
      <c r="A4" s="8"/>
      <c r="B4" s="8"/>
      <c r="C4" s="13"/>
      <c r="D4" s="20"/>
      <c r="E4" s="9" t="s">
        <v>74</v>
      </c>
      <c r="F4" s="9" t="s">
        <v>75</v>
      </c>
      <c r="G4" s="20"/>
      <c r="H4" s="9" t="s">
        <v>76</v>
      </c>
      <c r="I4" s="9" t="s">
        <v>77</v>
      </c>
      <c r="J4" s="31" t="s">
        <v>78</v>
      </c>
      <c r="K4" s="13" t="s">
        <v>66</v>
      </c>
      <c r="L4" s="12" t="s">
        <v>66</v>
      </c>
    </row>
    <row r="5" spans="1:12" ht="13.5" customHeight="1">
      <c r="A5" s="80" t="s">
        <v>99</v>
      </c>
      <c r="B5" s="63"/>
      <c r="C5" s="64" t="s">
        <v>38</v>
      </c>
      <c r="D5" s="65" t="s">
        <v>61</v>
      </c>
      <c r="E5" s="66" t="s">
        <v>39</v>
      </c>
      <c r="F5" s="66" t="s">
        <v>42</v>
      </c>
      <c r="G5" s="67" t="s">
        <v>45</v>
      </c>
      <c r="H5" s="66" t="s">
        <v>48</v>
      </c>
      <c r="I5" s="67" t="s">
        <v>51</v>
      </c>
      <c r="J5" s="66" t="s">
        <v>53</v>
      </c>
      <c r="K5" s="68" t="s">
        <v>54</v>
      </c>
      <c r="L5" s="64" t="s">
        <v>57</v>
      </c>
    </row>
    <row r="6" spans="1:12" ht="12" customHeight="1">
      <c r="A6" s="57"/>
      <c r="B6" s="10"/>
      <c r="C6" s="13" t="s">
        <v>72</v>
      </c>
      <c r="D6" s="5" t="s">
        <v>63</v>
      </c>
      <c r="E6" s="32" t="s">
        <v>40</v>
      </c>
      <c r="F6" s="13" t="s">
        <v>43</v>
      </c>
      <c r="G6" s="12" t="s">
        <v>46</v>
      </c>
      <c r="H6" s="13" t="s">
        <v>50</v>
      </c>
      <c r="I6" s="12" t="s">
        <v>52</v>
      </c>
      <c r="J6" s="13" t="s">
        <v>47</v>
      </c>
      <c r="K6" s="12" t="s">
        <v>55</v>
      </c>
      <c r="L6" s="13" t="s">
        <v>58</v>
      </c>
    </row>
    <row r="7" spans="1:12" ht="12" customHeight="1">
      <c r="A7" s="58"/>
      <c r="B7" s="8"/>
      <c r="C7" s="27"/>
      <c r="D7" s="5" t="s">
        <v>62</v>
      </c>
      <c r="E7" s="31" t="s">
        <v>41</v>
      </c>
      <c r="F7" s="13" t="s">
        <v>44</v>
      </c>
      <c r="G7" s="13" t="s">
        <v>47</v>
      </c>
      <c r="H7" s="13" t="s">
        <v>49</v>
      </c>
      <c r="I7" s="12" t="s">
        <v>44</v>
      </c>
      <c r="J7" s="13"/>
      <c r="K7" s="12" t="s">
        <v>56</v>
      </c>
      <c r="L7" s="13" t="s">
        <v>47</v>
      </c>
    </row>
    <row r="8" spans="1:13" ht="14.25" customHeight="1">
      <c r="A8" s="56" t="s">
        <v>0</v>
      </c>
      <c r="C8" s="14">
        <f aca="true" t="shared" si="0" ref="C8:L8">SUM(C12:C23)</f>
        <v>582416313.3199999</v>
      </c>
      <c r="D8" s="2">
        <f t="shared" si="0"/>
        <v>0</v>
      </c>
      <c r="E8" s="15">
        <f t="shared" si="0"/>
        <v>68085808.26</v>
      </c>
      <c r="F8" s="2">
        <f t="shared" si="0"/>
        <v>88889444</v>
      </c>
      <c r="G8" s="15">
        <f t="shared" si="0"/>
        <v>49548602</v>
      </c>
      <c r="H8" s="2">
        <f t="shared" si="0"/>
        <v>181424047.06</v>
      </c>
      <c r="I8" s="15">
        <f t="shared" si="0"/>
        <v>54012228</v>
      </c>
      <c r="J8" s="2">
        <f t="shared" si="0"/>
        <v>132912202</v>
      </c>
      <c r="K8" s="15">
        <f t="shared" si="0"/>
        <v>1314671</v>
      </c>
      <c r="L8" s="15">
        <f t="shared" si="0"/>
        <v>6229311</v>
      </c>
      <c r="M8" s="2"/>
    </row>
    <row r="9" spans="1:12" ht="12.75">
      <c r="A9" s="56" t="s">
        <v>1</v>
      </c>
      <c r="C9" s="14">
        <f aca="true" t="shared" si="1" ref="C9:L9">SUM(C25:C32)</f>
        <v>74260820</v>
      </c>
      <c r="D9" s="2">
        <f t="shared" si="1"/>
        <v>0</v>
      </c>
      <c r="E9" s="15">
        <f t="shared" si="1"/>
        <v>1914718</v>
      </c>
      <c r="F9" s="2">
        <f t="shared" si="1"/>
        <v>19655725</v>
      </c>
      <c r="G9" s="15">
        <f t="shared" si="1"/>
        <v>7891510</v>
      </c>
      <c r="H9" s="2">
        <f t="shared" si="1"/>
        <v>4017700</v>
      </c>
      <c r="I9" s="15">
        <f t="shared" si="1"/>
        <v>5014000</v>
      </c>
      <c r="J9" s="2">
        <f t="shared" si="1"/>
        <v>29444667</v>
      </c>
      <c r="K9" s="15">
        <f t="shared" si="1"/>
        <v>239100</v>
      </c>
      <c r="L9" s="15">
        <f t="shared" si="1"/>
        <v>6083400</v>
      </c>
    </row>
    <row r="10" spans="1:12" ht="12.75">
      <c r="A10" s="59" t="s">
        <v>2</v>
      </c>
      <c r="B10" s="16"/>
      <c r="C10" s="17">
        <f aca="true" t="shared" si="2" ref="C10:L10">+C8-C9</f>
        <v>508155493.31999993</v>
      </c>
      <c r="D10" s="18">
        <f t="shared" si="2"/>
        <v>0</v>
      </c>
      <c r="E10" s="19">
        <f t="shared" si="2"/>
        <v>66171090.260000005</v>
      </c>
      <c r="F10" s="18">
        <f t="shared" si="2"/>
        <v>69233719</v>
      </c>
      <c r="G10" s="19">
        <f t="shared" si="2"/>
        <v>41657092</v>
      </c>
      <c r="H10" s="18">
        <f t="shared" si="2"/>
        <v>177406347.06</v>
      </c>
      <c r="I10" s="19">
        <f t="shared" si="2"/>
        <v>48998228</v>
      </c>
      <c r="J10" s="18">
        <f t="shared" si="2"/>
        <v>103467535</v>
      </c>
      <c r="K10" s="19">
        <f t="shared" si="2"/>
        <v>1075571</v>
      </c>
      <c r="L10" s="19">
        <f t="shared" si="2"/>
        <v>145911</v>
      </c>
    </row>
    <row r="11" spans="1:12" ht="15.75" customHeight="1">
      <c r="A11" s="57" t="s">
        <v>3</v>
      </c>
      <c r="B11" s="10"/>
      <c r="C11" s="14"/>
      <c r="E11" s="15"/>
      <c r="F11" s="2"/>
      <c r="G11" s="40"/>
      <c r="H11" s="2"/>
      <c r="I11" s="15"/>
      <c r="J11" s="2"/>
      <c r="K11" s="15"/>
      <c r="L11" s="15"/>
    </row>
    <row r="12" spans="1:12" ht="12.75">
      <c r="A12" s="60" t="s">
        <v>4</v>
      </c>
      <c r="B12" s="11"/>
      <c r="C12" s="14">
        <f aca="true" t="shared" si="3" ref="C12:C23">SUM(D12:L12)</f>
        <v>161368731.7</v>
      </c>
      <c r="E12" s="15">
        <v>8367413.89</v>
      </c>
      <c r="F12" s="15">
        <v>18553295</v>
      </c>
      <c r="G12" s="15">
        <v>23518072</v>
      </c>
      <c r="H12" s="15">
        <v>22591191.81</v>
      </c>
      <c r="I12" s="15">
        <f>13865205+3800051</f>
        <v>17665256</v>
      </c>
      <c r="J12" s="15">
        <v>66816118</v>
      </c>
      <c r="K12" s="15">
        <v>854354</v>
      </c>
      <c r="L12" s="15">
        <v>3003031</v>
      </c>
    </row>
    <row r="13" spans="1:12" ht="12.75">
      <c r="A13" s="60" t="s">
        <v>5</v>
      </c>
      <c r="B13" s="11"/>
      <c r="C13" s="14">
        <f t="shared" si="3"/>
        <v>53901694.620000005</v>
      </c>
      <c r="D13" s="15">
        <f>+D12*$C$34/100</f>
        <v>0</v>
      </c>
      <c r="E13" s="15">
        <v>19799209.37</v>
      </c>
      <c r="F13" s="15">
        <v>4225401</v>
      </c>
      <c r="G13" s="15">
        <v>5086959</v>
      </c>
      <c r="H13" s="15">
        <v>4886979.25</v>
      </c>
      <c r="I13" s="15">
        <f>2999021+1042000</f>
        <v>4041021</v>
      </c>
      <c r="J13" s="15">
        <v>14796317</v>
      </c>
      <c r="K13" s="15">
        <v>184796</v>
      </c>
      <c r="L13" s="15">
        <v>881012</v>
      </c>
    </row>
    <row r="14" spans="1:12" ht="12.75">
      <c r="A14" s="60" t="s">
        <v>6</v>
      </c>
      <c r="B14" s="11"/>
      <c r="C14" s="14">
        <f t="shared" si="3"/>
        <v>0</v>
      </c>
      <c r="E14" s="15">
        <v>0</v>
      </c>
      <c r="F14" s="2">
        <v>0</v>
      </c>
      <c r="G14" s="45">
        <v>0</v>
      </c>
      <c r="H14" s="2">
        <v>0</v>
      </c>
      <c r="I14" s="45">
        <v>0</v>
      </c>
      <c r="J14" s="2">
        <v>0</v>
      </c>
      <c r="K14" s="15">
        <v>0</v>
      </c>
      <c r="L14" s="15">
        <v>0</v>
      </c>
    </row>
    <row r="15" spans="1:12" ht="12.75">
      <c r="A15" s="60" t="s">
        <v>7</v>
      </c>
      <c r="B15" s="11"/>
      <c r="C15" s="14">
        <f t="shared" si="3"/>
        <v>15863502</v>
      </c>
      <c r="E15" s="15">
        <v>3049550</v>
      </c>
      <c r="F15" s="2">
        <v>1018237</v>
      </c>
      <c r="G15" s="45">
        <v>3560523</v>
      </c>
      <c r="H15" s="2">
        <v>2154196</v>
      </c>
      <c r="I15" s="45">
        <f>978010+29080</f>
        <v>1007090</v>
      </c>
      <c r="J15" s="2">
        <v>4879896</v>
      </c>
      <c r="K15" s="15">
        <v>55360</v>
      </c>
      <c r="L15" s="15">
        <v>138650</v>
      </c>
    </row>
    <row r="16" spans="1:12" ht="12.75">
      <c r="A16" s="60" t="s">
        <v>8</v>
      </c>
      <c r="B16" s="11"/>
      <c r="C16" s="14">
        <f t="shared" si="3"/>
        <v>72706270</v>
      </c>
      <c r="E16" s="15">
        <v>6668057</v>
      </c>
      <c r="F16" s="2">
        <v>3980881</v>
      </c>
      <c r="G16" s="45">
        <v>12919145</v>
      </c>
      <c r="H16" s="2">
        <v>24519881</v>
      </c>
      <c r="I16" s="45">
        <f>8132501+50000</f>
        <v>8182501</v>
      </c>
      <c r="J16" s="2">
        <v>14619646</v>
      </c>
      <c r="K16" s="15">
        <v>214041</v>
      </c>
      <c r="L16" s="15">
        <v>1602118</v>
      </c>
    </row>
    <row r="17" spans="1:12" ht="12.75">
      <c r="A17" s="60" t="s">
        <v>9</v>
      </c>
      <c r="B17" s="11"/>
      <c r="C17" s="14">
        <f t="shared" si="3"/>
        <v>203999897</v>
      </c>
      <c r="E17" s="15">
        <v>0</v>
      </c>
      <c r="F17" s="2">
        <v>26746174</v>
      </c>
      <c r="G17" s="45">
        <v>3225400</v>
      </c>
      <c r="H17" s="2">
        <v>126898685</v>
      </c>
      <c r="I17" s="45">
        <f>19418582+530000</f>
        <v>19948582</v>
      </c>
      <c r="J17" s="2">
        <v>27181056</v>
      </c>
      <c r="K17" s="15">
        <v>0</v>
      </c>
      <c r="L17" s="15">
        <v>0</v>
      </c>
    </row>
    <row r="18" spans="1:12" ht="12.75">
      <c r="A18" s="60" t="s">
        <v>10</v>
      </c>
      <c r="B18" s="11"/>
      <c r="C18" s="14">
        <f t="shared" si="3"/>
        <v>2290651</v>
      </c>
      <c r="E18" s="15">
        <v>317542</v>
      </c>
      <c r="F18" s="2">
        <v>103341</v>
      </c>
      <c r="G18" s="45">
        <v>354607</v>
      </c>
      <c r="H18" s="2">
        <v>192694</v>
      </c>
      <c r="I18" s="45">
        <f>274054+10000</f>
        <v>284054</v>
      </c>
      <c r="J18" s="2">
        <v>446163</v>
      </c>
      <c r="K18" s="15">
        <v>4250</v>
      </c>
      <c r="L18" s="15">
        <v>588000</v>
      </c>
    </row>
    <row r="19" spans="1:12" ht="12.75">
      <c r="A19" s="60" t="s">
        <v>11</v>
      </c>
      <c r="B19" s="11"/>
      <c r="C19" s="14">
        <f t="shared" si="3"/>
        <v>42267307</v>
      </c>
      <c r="E19" s="15">
        <v>160000</v>
      </c>
      <c r="F19" s="2">
        <v>34222285</v>
      </c>
      <c r="G19" s="45">
        <v>840000</v>
      </c>
      <c r="H19" s="2">
        <v>135000</v>
      </c>
      <c r="I19" s="45">
        <f>2522822+307000</f>
        <v>2829822</v>
      </c>
      <c r="J19" s="2">
        <v>4080200</v>
      </c>
      <c r="K19" s="15">
        <v>0</v>
      </c>
      <c r="L19" s="15">
        <v>0</v>
      </c>
    </row>
    <row r="20" spans="1:12" ht="12.75">
      <c r="A20" s="60" t="s">
        <v>12</v>
      </c>
      <c r="B20" s="11"/>
      <c r="C20" s="14">
        <f t="shared" si="3"/>
        <v>5000</v>
      </c>
      <c r="E20" s="15">
        <v>0</v>
      </c>
      <c r="F20" s="2">
        <v>0</v>
      </c>
      <c r="G20" s="45">
        <v>0</v>
      </c>
      <c r="H20" s="2">
        <v>5000</v>
      </c>
      <c r="I20" s="45">
        <v>0</v>
      </c>
      <c r="J20" s="2">
        <v>0</v>
      </c>
      <c r="K20" s="15">
        <v>0</v>
      </c>
      <c r="L20" s="15">
        <v>0</v>
      </c>
    </row>
    <row r="21" spans="1:12" ht="12.75">
      <c r="A21" s="60" t="s">
        <v>13</v>
      </c>
      <c r="B21" s="11"/>
      <c r="C21" s="14">
        <f t="shared" si="3"/>
        <v>417345</v>
      </c>
      <c r="E21" s="15">
        <v>151771</v>
      </c>
      <c r="F21" s="2">
        <v>39830</v>
      </c>
      <c r="G21" s="45">
        <v>38396</v>
      </c>
      <c r="H21" s="2">
        <v>38720</v>
      </c>
      <c r="I21" s="45">
        <v>43902</v>
      </c>
      <c r="J21" s="2">
        <v>92806</v>
      </c>
      <c r="K21" s="15">
        <v>1420</v>
      </c>
      <c r="L21" s="15">
        <v>10500</v>
      </c>
    </row>
    <row r="22" spans="1:12" ht="12.75">
      <c r="A22" s="60" t="s">
        <v>14</v>
      </c>
      <c r="B22" s="11"/>
      <c r="C22" s="14">
        <f t="shared" si="3"/>
        <v>29536265</v>
      </c>
      <c r="E22" s="15">
        <v>29536265</v>
      </c>
      <c r="F22" s="35">
        <v>0</v>
      </c>
      <c r="G22" s="45">
        <v>0</v>
      </c>
      <c r="H22" s="2">
        <v>0</v>
      </c>
      <c r="I22" s="45">
        <v>0</v>
      </c>
      <c r="J22" s="2">
        <v>0</v>
      </c>
      <c r="K22" s="15">
        <v>0</v>
      </c>
      <c r="L22" s="15">
        <v>0</v>
      </c>
    </row>
    <row r="23" spans="1:12" ht="12.75">
      <c r="A23" s="60" t="s">
        <v>15</v>
      </c>
      <c r="B23" s="11"/>
      <c r="C23" s="14">
        <f t="shared" si="3"/>
        <v>59650</v>
      </c>
      <c r="E23" s="15">
        <v>36000</v>
      </c>
      <c r="F23" s="2">
        <v>0</v>
      </c>
      <c r="G23" s="45">
        <v>5500</v>
      </c>
      <c r="H23" s="2">
        <v>1700</v>
      </c>
      <c r="I23" s="45">
        <v>10000</v>
      </c>
      <c r="J23" s="2">
        <v>0</v>
      </c>
      <c r="K23" s="15">
        <v>450</v>
      </c>
      <c r="L23" s="15">
        <v>6000</v>
      </c>
    </row>
    <row r="24" spans="1:12" ht="21" customHeight="1">
      <c r="A24" s="56" t="s">
        <v>16</v>
      </c>
      <c r="C24" s="14"/>
      <c r="E24" s="15"/>
      <c r="F24" s="2"/>
      <c r="G24" s="45"/>
      <c r="H24" s="2"/>
      <c r="I24" s="45"/>
      <c r="J24" s="2"/>
      <c r="K24" s="15"/>
      <c r="L24" s="15"/>
    </row>
    <row r="25" spans="1:12" ht="12.75">
      <c r="A25" s="60" t="s">
        <v>17</v>
      </c>
      <c r="B25" s="11"/>
      <c r="C25" s="14">
        <f aca="true" t="shared" si="4" ref="C25:C32">SUM(D25:L25)</f>
        <v>21465893</v>
      </c>
      <c r="E25" s="15">
        <v>434878</v>
      </c>
      <c r="F25" s="2">
        <v>4274004</v>
      </c>
      <c r="G25" s="45">
        <v>3399960</v>
      </c>
      <c r="H25" s="2">
        <v>1267767</v>
      </c>
      <c r="I25" s="45">
        <v>2459111</v>
      </c>
      <c r="J25" s="2">
        <v>3727073</v>
      </c>
      <c r="K25" s="15">
        <v>63100</v>
      </c>
      <c r="L25" s="15">
        <v>5840000</v>
      </c>
    </row>
    <row r="26" spans="1:12" ht="12.75">
      <c r="A26" s="60" t="s">
        <v>18</v>
      </c>
      <c r="B26" s="11"/>
      <c r="C26" s="14">
        <f t="shared" si="4"/>
        <v>33567155</v>
      </c>
      <c r="E26" s="15">
        <v>50000</v>
      </c>
      <c r="F26" s="2">
        <v>1231981</v>
      </c>
      <c r="G26" s="45">
        <v>3989050</v>
      </c>
      <c r="H26" s="2">
        <v>2469033</v>
      </c>
      <c r="I26" s="45">
        <v>286001</v>
      </c>
      <c r="J26" s="2">
        <v>25298190</v>
      </c>
      <c r="K26" s="15">
        <v>172500</v>
      </c>
      <c r="L26" s="15">
        <v>70400</v>
      </c>
    </row>
    <row r="27" spans="1:12" ht="12.75">
      <c r="A27" s="60" t="s">
        <v>19</v>
      </c>
      <c r="B27" s="11"/>
      <c r="C27" s="14">
        <f t="shared" si="4"/>
        <v>1886288</v>
      </c>
      <c r="E27" s="15">
        <v>1400000</v>
      </c>
      <c r="F27" s="2">
        <v>0</v>
      </c>
      <c r="G27" s="45">
        <v>0</v>
      </c>
      <c r="H27" s="2">
        <v>600</v>
      </c>
      <c r="I27" s="45">
        <v>176338</v>
      </c>
      <c r="J27" s="2">
        <v>309350</v>
      </c>
      <c r="K27" s="15">
        <v>0</v>
      </c>
      <c r="L27" s="15">
        <v>0</v>
      </c>
    </row>
    <row r="28" spans="1:12" ht="12.75">
      <c r="A28" s="60" t="s">
        <v>20</v>
      </c>
      <c r="B28" s="11"/>
      <c r="C28" s="14">
        <f t="shared" si="4"/>
        <v>15644280</v>
      </c>
      <c r="E28" s="15">
        <v>0</v>
      </c>
      <c r="F28" s="2">
        <v>12619780</v>
      </c>
      <c r="G28" s="45">
        <v>500650</v>
      </c>
      <c r="H28" s="2">
        <v>271300</v>
      </c>
      <c r="I28" s="45">
        <f>215550+1864000</f>
        <v>2079550</v>
      </c>
      <c r="J28" s="2">
        <v>0</v>
      </c>
      <c r="K28" s="15">
        <v>0</v>
      </c>
      <c r="L28" s="15">
        <v>173000</v>
      </c>
    </row>
    <row r="29" spans="1:12" ht="12.75">
      <c r="A29" s="60" t="s">
        <v>21</v>
      </c>
      <c r="B29" s="11"/>
      <c r="C29" s="14">
        <f t="shared" si="4"/>
        <v>0</v>
      </c>
      <c r="E29" s="15">
        <v>0</v>
      </c>
      <c r="F29" s="2">
        <v>0</v>
      </c>
      <c r="G29" s="45">
        <v>0</v>
      </c>
      <c r="H29" s="2">
        <v>0</v>
      </c>
      <c r="I29" s="45"/>
      <c r="J29" s="2">
        <v>0</v>
      </c>
      <c r="K29" s="15">
        <v>0</v>
      </c>
      <c r="L29" s="15">
        <v>0</v>
      </c>
    </row>
    <row r="30" spans="1:12" ht="12.75">
      <c r="A30" s="60" t="s">
        <v>22</v>
      </c>
      <c r="B30" s="11"/>
      <c r="C30" s="14">
        <f t="shared" si="4"/>
        <v>1697204</v>
      </c>
      <c r="E30" s="15">
        <v>29840</v>
      </c>
      <c r="F30" s="2">
        <v>1529960</v>
      </c>
      <c r="G30" s="45">
        <v>1850</v>
      </c>
      <c r="H30" s="2">
        <v>9000</v>
      </c>
      <c r="I30" s="45">
        <v>13000</v>
      </c>
      <c r="J30" s="2">
        <v>110054</v>
      </c>
      <c r="K30" s="15">
        <v>3500</v>
      </c>
      <c r="L30" s="15">
        <v>0</v>
      </c>
    </row>
    <row r="31" spans="1:12" ht="12.75">
      <c r="A31" s="60" t="s">
        <v>23</v>
      </c>
      <c r="B31" s="11"/>
      <c r="C31" s="14">
        <f t="shared" si="4"/>
        <v>0</v>
      </c>
      <c r="E31" s="15">
        <v>0</v>
      </c>
      <c r="F31" s="2">
        <v>0</v>
      </c>
      <c r="G31" s="45">
        <v>0</v>
      </c>
      <c r="H31" s="2">
        <v>0</v>
      </c>
      <c r="I31" s="45">
        <v>0</v>
      </c>
      <c r="J31" s="2">
        <v>0</v>
      </c>
      <c r="K31" s="15">
        <v>0</v>
      </c>
      <c r="L31" s="15">
        <v>0</v>
      </c>
    </row>
    <row r="32" spans="1:12" ht="12.75">
      <c r="A32" s="59" t="s">
        <v>24</v>
      </c>
      <c r="B32" s="16"/>
      <c r="C32" s="17">
        <f t="shared" si="4"/>
        <v>0</v>
      </c>
      <c r="D32" s="18"/>
      <c r="E32" s="19">
        <v>0</v>
      </c>
      <c r="F32" s="18">
        <v>0</v>
      </c>
      <c r="G32" s="46">
        <v>0</v>
      </c>
      <c r="H32" s="18">
        <v>0</v>
      </c>
      <c r="I32" s="46"/>
      <c r="J32" s="18">
        <v>0</v>
      </c>
      <c r="K32" s="19">
        <v>0</v>
      </c>
      <c r="L32" s="19">
        <v>0</v>
      </c>
    </row>
    <row r="33" spans="1:12" ht="12" customHeight="1">
      <c r="A33" s="56"/>
      <c r="C33" s="15"/>
      <c r="E33" s="15"/>
      <c r="F33" s="2"/>
      <c r="G33" s="45"/>
      <c r="H33" s="2"/>
      <c r="I33" s="45"/>
      <c r="J33" s="2"/>
      <c r="K33" s="26"/>
      <c r="L33" s="26"/>
    </row>
    <row r="34" spans="1:12" ht="12.75">
      <c r="A34" s="56" t="s">
        <v>25</v>
      </c>
      <c r="C34" s="21">
        <v>21.63</v>
      </c>
      <c r="F34" s="2"/>
      <c r="G34" s="45"/>
      <c r="H34" s="2"/>
      <c r="I34" s="45"/>
      <c r="J34" s="2"/>
      <c r="K34" s="26"/>
      <c r="L34" s="26"/>
    </row>
    <row r="35" spans="1:12" ht="12.75">
      <c r="A35" s="56"/>
      <c r="C35" s="15"/>
      <c r="F35"/>
      <c r="G35" s="45"/>
      <c r="H35" s="2"/>
      <c r="I35" s="45"/>
      <c r="J35"/>
      <c r="K35" s="26"/>
      <c r="L35" s="26"/>
    </row>
    <row r="36" spans="1:12" ht="12.75" hidden="1">
      <c r="A36" s="56"/>
      <c r="C36" s="15"/>
      <c r="F36" t="s">
        <v>70</v>
      </c>
      <c r="G36" s="45"/>
      <c r="H36" s="2"/>
      <c r="I36" s="45"/>
      <c r="J36" t="s">
        <v>70</v>
      </c>
      <c r="K36" s="26"/>
      <c r="L36" s="26"/>
    </row>
    <row r="37" spans="1:12" ht="12.75" customHeight="1">
      <c r="A37" s="57" t="s">
        <v>36</v>
      </c>
      <c r="B37" s="10"/>
      <c r="C37" s="15"/>
      <c r="E37" s="15"/>
      <c r="G37" s="45"/>
      <c r="H37" s="2"/>
      <c r="I37" s="45"/>
      <c r="K37" s="26"/>
      <c r="L37" s="26"/>
    </row>
    <row r="38" spans="1:12" ht="12.75" customHeight="1">
      <c r="A38" s="80" t="s">
        <v>99</v>
      </c>
      <c r="B38" s="10"/>
      <c r="C38" s="13" t="s">
        <v>38</v>
      </c>
      <c r="D38" s="5" t="s">
        <v>61</v>
      </c>
      <c r="E38" s="31" t="s">
        <v>39</v>
      </c>
      <c r="F38" s="31" t="s">
        <v>42</v>
      </c>
      <c r="G38" s="9" t="s">
        <v>45</v>
      </c>
      <c r="H38" s="31" t="s">
        <v>48</v>
      </c>
      <c r="I38" s="9" t="s">
        <v>51</v>
      </c>
      <c r="J38" s="31" t="s">
        <v>53</v>
      </c>
      <c r="K38" s="12" t="s">
        <v>54</v>
      </c>
      <c r="L38" s="13" t="s">
        <v>57</v>
      </c>
    </row>
    <row r="39" spans="1:12" ht="12.75" customHeight="1">
      <c r="A39" s="57"/>
      <c r="B39" s="10"/>
      <c r="C39" s="13" t="s">
        <v>72</v>
      </c>
      <c r="D39" s="5" t="s">
        <v>63</v>
      </c>
      <c r="E39" s="32" t="s">
        <v>40</v>
      </c>
      <c r="F39" s="13" t="s">
        <v>43</v>
      </c>
      <c r="G39" s="12" t="s">
        <v>46</v>
      </c>
      <c r="H39" s="13" t="s">
        <v>50</v>
      </c>
      <c r="I39" s="12" t="s">
        <v>52</v>
      </c>
      <c r="J39" s="13" t="s">
        <v>47</v>
      </c>
      <c r="K39" s="12" t="s">
        <v>55</v>
      </c>
      <c r="L39" s="13" t="s">
        <v>58</v>
      </c>
    </row>
    <row r="40" spans="1:12" ht="12.75" customHeight="1">
      <c r="A40" s="61"/>
      <c r="B40" s="51"/>
      <c r="C40" s="47"/>
      <c r="D40" s="48" t="s">
        <v>62</v>
      </c>
      <c r="E40" s="49" t="s">
        <v>41</v>
      </c>
      <c r="F40" s="50" t="s">
        <v>44</v>
      </c>
      <c r="G40" s="50" t="s">
        <v>47</v>
      </c>
      <c r="H40" s="50" t="s">
        <v>49</v>
      </c>
      <c r="I40" s="29" t="s">
        <v>44</v>
      </c>
      <c r="J40" s="50"/>
      <c r="K40" s="29" t="s">
        <v>56</v>
      </c>
      <c r="L40" s="50" t="s">
        <v>47</v>
      </c>
    </row>
    <row r="41" spans="1:12" ht="12.75">
      <c r="A41" s="60"/>
      <c r="B41" s="11"/>
      <c r="C41" s="25"/>
      <c r="E41" s="15"/>
      <c r="F41" s="2"/>
      <c r="G41" s="45"/>
      <c r="H41" s="2"/>
      <c r="I41" s="45"/>
      <c r="J41" s="2"/>
      <c r="K41" s="26"/>
      <c r="L41" s="26"/>
    </row>
    <row r="42" spans="1:12" ht="12.75">
      <c r="A42" s="57" t="s">
        <v>27</v>
      </c>
      <c r="B42" s="12" t="s">
        <v>33</v>
      </c>
      <c r="C42" s="14">
        <f>SUM(D42:L42)</f>
        <v>82306147.03044674</v>
      </c>
      <c r="D42" s="22"/>
      <c r="E42" s="33">
        <f>'Tulosal-mom2010'!E43/'Tulosal-mom2010'!$E$59*68708285-(0.8*35000)-150000-43000-40000</f>
        <v>15706805.434</v>
      </c>
      <c r="F42" s="38">
        <f>'Tulosal-mom2010'!F43/'Tulosal-mom2010'!$F$59*(89343156+750288)-300000-100000</f>
        <v>33321975.342426635</v>
      </c>
      <c r="G42" s="45">
        <f>'Tulosal-mom2010'!G43/'Tulosal-mom2010'!$G$59*(48724022+1461600)-(0.7*100000+100000+10000)+110000</f>
        <v>12484491.744585803</v>
      </c>
      <c r="H42" s="38">
        <f>'Tulosal-mom2010'!H43/'Tulosal-mom2010'!$H$59*(180806255+1118124)-(0.6*124000)</f>
        <v>13446492.869177742</v>
      </c>
      <c r="I42" s="45">
        <f>'Tulosal-mom2010'!I43/'Tulosal-mom2010'!$I$59*(47533075+657720)-(0.5*50000+100000)+50000</f>
        <v>7346381.640256554</v>
      </c>
      <c r="J42" s="22"/>
      <c r="K42" s="26">
        <v>0</v>
      </c>
      <c r="L42" s="26">
        <v>0</v>
      </c>
    </row>
    <row r="43" spans="1:12" ht="12.75">
      <c r="A43" s="57" t="s">
        <v>28</v>
      </c>
      <c r="B43" s="12" t="s">
        <v>34</v>
      </c>
      <c r="C43" s="14">
        <f>SUM(D43:L43)</f>
        <v>8037679.938336886</v>
      </c>
      <c r="D43" s="22"/>
      <c r="E43" s="33">
        <f>20.37/100*E9</f>
        <v>390028.0566</v>
      </c>
      <c r="F43" s="38">
        <f>'Tulosal-mom2010'!F44/'Tulosal-mom2010'!$F$60*$F$9</f>
        <v>7357138.002542008</v>
      </c>
      <c r="G43" s="45">
        <v>0</v>
      </c>
      <c r="H43" s="38">
        <v>126714</v>
      </c>
      <c r="I43" s="45">
        <v>163799.87919487906</v>
      </c>
      <c r="J43" s="38"/>
      <c r="K43" s="26">
        <v>0</v>
      </c>
      <c r="L43" s="26">
        <v>0</v>
      </c>
    </row>
    <row r="44" spans="1:12" ht="12.75">
      <c r="A44" s="61"/>
      <c r="B44" s="29" t="s">
        <v>35</v>
      </c>
      <c r="C44" s="17">
        <f>+C42-C43</f>
        <v>74268467.09210986</v>
      </c>
      <c r="D44" s="30"/>
      <c r="E44" s="44">
        <f>+E42-E43</f>
        <v>15316777.3774</v>
      </c>
      <c r="F44" s="39">
        <f>+F42-F43</f>
        <v>25964837.339884628</v>
      </c>
      <c r="G44" s="46">
        <v>12412207.260385528</v>
      </c>
      <c r="H44" s="39">
        <v>13329581.221983692</v>
      </c>
      <c r="I44" s="46">
        <v>7184621.650825697</v>
      </c>
      <c r="J44" s="39"/>
      <c r="K44" s="36">
        <v>0</v>
      </c>
      <c r="L44" s="36">
        <v>0</v>
      </c>
    </row>
    <row r="45" spans="1:12" ht="12.75">
      <c r="A45" s="57"/>
      <c r="B45" s="12"/>
      <c r="C45" s="14"/>
      <c r="D45" s="22"/>
      <c r="E45" s="33"/>
      <c r="F45" s="38"/>
      <c r="G45" s="45"/>
      <c r="H45" s="38"/>
      <c r="I45" s="45"/>
      <c r="J45" s="38"/>
      <c r="K45" s="26"/>
      <c r="L45" s="26"/>
    </row>
    <row r="46" spans="1:12" ht="12.75">
      <c r="A46" s="57" t="s">
        <v>31</v>
      </c>
      <c r="B46" s="12" t="s">
        <v>33</v>
      </c>
      <c r="C46" s="14">
        <f>SUM(D46:L46)</f>
        <v>34729792.301426835</v>
      </c>
      <c r="D46" s="22"/>
      <c r="E46" s="33">
        <f>'Tulosal-mom2010'!E47/'Tulosal-mom2010'!$E$59*68708285-(0.2*35000)</f>
        <v>3696376.5615</v>
      </c>
      <c r="F46" s="38">
        <f>'Tulosal-mom2010'!F47/'Tulosal-mom2010'!$F$59*(89343156+750288)</f>
        <v>8829157.936543122</v>
      </c>
      <c r="G46" s="45">
        <f>'Tulosal-mom2010'!G47/'Tulosal-mom2010'!$G$59*(48724022+1461600)-(0.3*100000+100000+10000)</f>
        <v>5097111.959472303</v>
      </c>
      <c r="H46" s="38">
        <f>'Tulosal-mom2010'!H47/'Tulosal-mom2010'!$H$59*(180806255+1118124)-(0.4*124000)</f>
        <v>9922439.316431778</v>
      </c>
      <c r="I46" s="45">
        <f>'Tulosal-mom2010'!I47/'Tulosal-mom2010'!$I$59*(47533075+657720)-(0.5*50000+100000)+50000</f>
        <v>6527137.985406153</v>
      </c>
      <c r="J46" s="38"/>
      <c r="K46" s="26">
        <v>0</v>
      </c>
      <c r="L46" s="26">
        <f>'Tulosal-mom2010'!L47/'Tulosal-mom2010'!$L$59*(6169943+214368)</f>
        <v>657568.5420734828</v>
      </c>
    </row>
    <row r="47" spans="1:12" ht="12.75">
      <c r="A47" s="57" t="s">
        <v>32</v>
      </c>
      <c r="B47" s="12" t="s">
        <v>34</v>
      </c>
      <c r="C47" s="14">
        <f>SUM(D47:L47)</f>
        <v>3573043.539623306</v>
      </c>
      <c r="D47" s="22"/>
      <c r="E47" s="33">
        <f>4.42/100*E9</f>
        <v>84630.53559999999</v>
      </c>
      <c r="F47" s="38">
        <f>'Tulosal-mom2010'!F48/'Tulosal-mom2010'!$F$60*$F$9</f>
        <v>1926261.0006655536</v>
      </c>
      <c r="G47" s="45">
        <v>553110</v>
      </c>
      <c r="H47" s="38">
        <v>217943</v>
      </c>
      <c r="I47" s="45">
        <v>170099.0033577523</v>
      </c>
      <c r="J47" s="38"/>
      <c r="K47" s="26">
        <v>0</v>
      </c>
      <c r="L47" s="26">
        <v>621000</v>
      </c>
    </row>
    <row r="48" spans="1:12" ht="12.75">
      <c r="A48" s="61"/>
      <c r="B48" s="29" t="s">
        <v>35</v>
      </c>
      <c r="C48" s="17">
        <f>+C46-C47</f>
        <v>31156748.76180353</v>
      </c>
      <c r="D48" s="30"/>
      <c r="E48" s="44">
        <f>+E46-E47</f>
        <v>3611746.0259</v>
      </c>
      <c r="F48" s="39">
        <f>+F46-F47</f>
        <v>6902896.935877568</v>
      </c>
      <c r="G48" s="46">
        <v>4753298.417711952</v>
      </c>
      <c r="H48" s="39">
        <v>9706453.73218821</v>
      </c>
      <c r="I48" s="46">
        <v>6367132.912187301</v>
      </c>
      <c r="J48" s="39"/>
      <c r="K48" s="36">
        <v>0</v>
      </c>
      <c r="L48" s="36">
        <v>40010</v>
      </c>
    </row>
    <row r="49" spans="1:12" ht="12.75">
      <c r="A49" s="57"/>
      <c r="B49" s="12"/>
      <c r="C49" s="14"/>
      <c r="D49" s="22"/>
      <c r="E49" s="33"/>
      <c r="F49" s="38"/>
      <c r="G49" s="45"/>
      <c r="H49" s="38"/>
      <c r="I49" s="45"/>
      <c r="J49" s="22"/>
      <c r="K49" s="26"/>
      <c r="L49" s="26"/>
    </row>
    <row r="50" spans="1:12" ht="12.75">
      <c r="A50" s="57" t="s">
        <v>29</v>
      </c>
      <c r="B50" s="12" t="s">
        <v>33</v>
      </c>
      <c r="C50" s="14">
        <f>SUM(D50:L50)</f>
        <v>209464924.10897055</v>
      </c>
      <c r="D50" s="22"/>
      <c r="E50" s="33">
        <f>'Tulosal-mom2010'!E51/'Tulosal-mom2010'!$E$59*68708285-35000-33000+124000-24443-55051</f>
        <v>21715807.374</v>
      </c>
      <c r="F50" s="38">
        <f>'Tulosal-mom2010'!F51/'Tulosal-mom2010'!$F$59*(89343156+750288)-600000-60000-124000</f>
        <v>43514946.12939032</v>
      </c>
      <c r="G50" s="45">
        <f>'Tulosal-mom2010'!G51/'Tulosal-mom2010'!$G$59*(48724022+1461600)-60000-220000+57096-144116</f>
        <v>22082903.129113372</v>
      </c>
      <c r="H50" s="38">
        <f>'Tulosal-mom2010'!H51/'Tulosal-mom2010'!$H$59*(180806255+1118124)-60000-220000-37612</f>
        <v>84272778.12467699</v>
      </c>
      <c r="I50" s="45">
        <f>'Tulosal-mom2010'!I51/'Tulosal-mom2010'!$I$59*(47533075+657720)+600-300000-70000+4618131+1150000+407702</f>
        <v>27106763.912863337</v>
      </c>
      <c r="J50" s="38">
        <f>'Tulosal-mom2010'!J51/'Tulosal-mom2010'!$J$59*(132360665+1788024)-5000</f>
        <v>3885311.981</v>
      </c>
      <c r="K50" s="26">
        <f>1265063+56028-5000-1420</f>
        <v>1314671</v>
      </c>
      <c r="L50" s="26">
        <f>'Tulosal-mom2010'!L51/'Tulosal-mom2010'!$L$59*(6169943+214368)-5000-150000</f>
        <v>5571742.457926517</v>
      </c>
    </row>
    <row r="51" spans="1:12" ht="12.75">
      <c r="A51" s="57" t="s">
        <v>79</v>
      </c>
      <c r="B51" s="12" t="s">
        <v>34</v>
      </c>
      <c r="C51" s="14">
        <f>SUM(D51:L51)</f>
        <v>29035820.858353667</v>
      </c>
      <c r="D51" s="22"/>
      <c r="E51" s="33">
        <f>33.62/100*E9</f>
        <v>643728.1916</v>
      </c>
      <c r="F51" s="38">
        <f>'Tulosal-mom2010'!F52/'Tulosal-mom2010'!$F$60*$F$9</f>
        <v>9664720.003339315</v>
      </c>
      <c r="G51" s="45">
        <f>6781790+3500</f>
        <v>6785290</v>
      </c>
      <c r="H51" s="38">
        <v>1435735</v>
      </c>
      <c r="I51" s="45">
        <f>2381398.99041435+1864000</f>
        <v>4245398.990414349</v>
      </c>
      <c r="J51" s="38">
        <f>0.019*J9</f>
        <v>559448.673</v>
      </c>
      <c r="K51" s="26">
        <v>239100</v>
      </c>
      <c r="L51" s="26">
        <f>+L9-L47</f>
        <v>5462400</v>
      </c>
    </row>
    <row r="52" spans="1:12" ht="12.75">
      <c r="A52" s="61"/>
      <c r="B52" s="29" t="s">
        <v>35</v>
      </c>
      <c r="C52" s="17">
        <f>+C50-C51</f>
        <v>180429103.25061688</v>
      </c>
      <c r="D52" s="30"/>
      <c r="E52" s="44">
        <f>+E50-E51</f>
        <v>21072079.182400003</v>
      </c>
      <c r="F52" s="39">
        <f>+F50-F51</f>
        <v>33850226.12605101</v>
      </c>
      <c r="G52" s="46">
        <v>15120068.84493332</v>
      </c>
      <c r="H52" s="39">
        <v>83550514.6414891</v>
      </c>
      <c r="I52" s="46">
        <v>18709526.913139753</v>
      </c>
      <c r="J52" s="39">
        <f>+J50-J51</f>
        <v>3325863.308</v>
      </c>
      <c r="K52" s="36">
        <f>+K50-K51</f>
        <v>1075571</v>
      </c>
      <c r="L52" s="36">
        <v>79946</v>
      </c>
    </row>
    <row r="53" spans="1:12" ht="12.75">
      <c r="A53" s="57"/>
      <c r="B53" s="12"/>
      <c r="C53" s="14"/>
      <c r="D53" s="22"/>
      <c r="E53" s="33"/>
      <c r="F53" s="38"/>
      <c r="G53" s="45"/>
      <c r="H53" s="38"/>
      <c r="I53" s="45"/>
      <c r="J53" s="38"/>
      <c r="K53" s="26"/>
      <c r="L53" s="26"/>
    </row>
    <row r="54" spans="1:12" ht="12.75">
      <c r="A54" s="57" t="s">
        <v>30</v>
      </c>
      <c r="B54" s="12" t="s">
        <v>33</v>
      </c>
      <c r="C54" s="14">
        <f>SUM(D54:L54)</f>
        <v>255915449.55915588</v>
      </c>
      <c r="D54" s="22"/>
      <c r="E54" s="33">
        <f>'Tulosal-mom2010'!E55/'Tulosal-mom2010'!$E$59*68708285-66000-205703+92000-71280-80000</f>
        <v>26966818.6305</v>
      </c>
      <c r="F54" s="38">
        <f>'Tulosal-mom2010'!F55/'Tulosal-mom2010'!$F$59*(89343156+750288)-20000</f>
        <v>3223364.59163992</v>
      </c>
      <c r="G54" s="45">
        <f>'Tulosal-mom2010'!G55/'Tulosal-mom2010'!$G$59*(48724022+1461600)-60000</f>
        <v>9884095.16682852</v>
      </c>
      <c r="H54" s="38">
        <f>'Tulosal-mom2010'!H55/'Tulosal-mom2010'!$H$59*(180806255+1118124)-100000+71280-30000</f>
        <v>73782336.68971351</v>
      </c>
      <c r="I54" s="45">
        <f>'Tulosal-mom2010'!I55/'Tulosal-mom2010'!$I$59*(47533075+657720)-20000+185000</f>
        <v>13031944.461473962</v>
      </c>
      <c r="J54" s="38">
        <f>'Tulosal-mom2010'!J55/'Tulosal-mom2010'!$J$59*(132360665+1788024)-562000-190000-587000+100000-155000+162513</f>
        <v>129026890.019</v>
      </c>
      <c r="K54" s="26">
        <v>0</v>
      </c>
      <c r="L54" s="26">
        <v>0</v>
      </c>
    </row>
    <row r="55" spans="1:12" ht="12.75">
      <c r="A55" s="57" t="s">
        <v>73</v>
      </c>
      <c r="B55" s="12" t="s">
        <v>34</v>
      </c>
      <c r="C55" s="14">
        <f>SUM(D55:L55)</f>
        <v>33614275.66368615</v>
      </c>
      <c r="D55" s="22"/>
      <c r="E55" s="33">
        <f>41.59/100*E9</f>
        <v>796331.2162000001</v>
      </c>
      <c r="F55" s="38">
        <f>'Tulosal-mom2010'!F56/'Tulosal-mom2010'!$F$60*$F$9</f>
        <v>707605.9934531238</v>
      </c>
      <c r="G55" s="45">
        <v>553110</v>
      </c>
      <c r="H55" s="38">
        <v>2237308</v>
      </c>
      <c r="I55" s="45">
        <v>434702.1270330222</v>
      </c>
      <c r="J55" s="38">
        <f>0.981*J9</f>
        <v>28885218.327</v>
      </c>
      <c r="K55" s="26">
        <v>0</v>
      </c>
      <c r="L55" s="26">
        <v>0</v>
      </c>
    </row>
    <row r="56" spans="1:12" ht="12.75">
      <c r="A56" s="61"/>
      <c r="B56" s="29" t="s">
        <v>35</v>
      </c>
      <c r="C56" s="17">
        <f>+C54-C55</f>
        <v>222301173.89546973</v>
      </c>
      <c r="D56" s="30"/>
      <c r="E56" s="44">
        <f>+E54-E55</f>
        <v>26170487.4143</v>
      </c>
      <c r="F56" s="39">
        <f>+F54-F55</f>
        <v>2515758.5981867965</v>
      </c>
      <c r="G56" s="46">
        <v>9126509.476969196</v>
      </c>
      <c r="H56" s="39">
        <v>71250964.404339</v>
      </c>
      <c r="I56" s="46">
        <v>12305746.523847254</v>
      </c>
      <c r="J56" s="39">
        <f>+J54-J55</f>
        <v>100141671.692</v>
      </c>
      <c r="K56" s="36">
        <v>0</v>
      </c>
      <c r="L56" s="36">
        <v>0</v>
      </c>
    </row>
    <row r="57" spans="1:12" ht="12.75">
      <c r="A57" s="57"/>
      <c r="B57" s="12"/>
      <c r="C57" s="14"/>
      <c r="D57" s="22"/>
      <c r="E57" s="24"/>
      <c r="F57" s="24"/>
      <c r="G57" s="23"/>
      <c r="H57" s="42"/>
      <c r="I57" s="37"/>
      <c r="J57" s="23"/>
      <c r="K57" s="26"/>
      <c r="L57" s="26"/>
    </row>
    <row r="58" spans="1:13" ht="12.75">
      <c r="A58" s="57" t="s">
        <v>80</v>
      </c>
      <c r="B58" s="12" t="s">
        <v>33</v>
      </c>
      <c r="C58" s="14">
        <f aca="true" t="shared" si="5" ref="C58:L58">+C42+C46+C50+C54</f>
        <v>582416313</v>
      </c>
      <c r="D58" s="33">
        <f t="shared" si="5"/>
        <v>0</v>
      </c>
      <c r="E58" s="33">
        <f t="shared" si="5"/>
        <v>68085808</v>
      </c>
      <c r="F58" s="37">
        <f t="shared" si="5"/>
        <v>88889444</v>
      </c>
      <c r="G58" s="33">
        <f t="shared" si="5"/>
        <v>49548602</v>
      </c>
      <c r="H58" s="43">
        <f t="shared" si="5"/>
        <v>181424047</v>
      </c>
      <c r="I58" s="43">
        <f t="shared" si="5"/>
        <v>54012228.00000001</v>
      </c>
      <c r="J58" s="43">
        <f t="shared" si="5"/>
        <v>132912202</v>
      </c>
      <c r="K58" s="33">
        <f t="shared" si="5"/>
        <v>1314671</v>
      </c>
      <c r="L58" s="33">
        <f t="shared" si="5"/>
        <v>6229311</v>
      </c>
      <c r="M58" s="34"/>
    </row>
    <row r="59" spans="1:13" ht="12.75">
      <c r="A59" s="56"/>
      <c r="B59" s="12" t="s">
        <v>34</v>
      </c>
      <c r="C59" s="14">
        <f aca="true" t="shared" si="6" ref="C59:L59">+C43+C47+C51+C55</f>
        <v>74260820</v>
      </c>
      <c r="D59" s="33">
        <f t="shared" si="6"/>
        <v>0</v>
      </c>
      <c r="E59" s="33">
        <f t="shared" si="6"/>
        <v>1914718.0000000002</v>
      </c>
      <c r="F59" s="37">
        <f t="shared" si="6"/>
        <v>19655725</v>
      </c>
      <c r="G59" s="33">
        <f t="shared" si="6"/>
        <v>7891510</v>
      </c>
      <c r="H59" s="43">
        <f t="shared" si="6"/>
        <v>4017700</v>
      </c>
      <c r="I59" s="43">
        <f t="shared" si="6"/>
        <v>5014000.000000003</v>
      </c>
      <c r="J59" s="43">
        <f t="shared" si="6"/>
        <v>29444667</v>
      </c>
      <c r="K59" s="33">
        <f t="shared" si="6"/>
        <v>239100</v>
      </c>
      <c r="L59" s="33">
        <f t="shared" si="6"/>
        <v>6083400</v>
      </c>
      <c r="M59" s="34"/>
    </row>
    <row r="60" spans="1:13" ht="12.75">
      <c r="A60" s="59"/>
      <c r="B60" s="29" t="s">
        <v>35</v>
      </c>
      <c r="C60" s="17">
        <f aca="true" t="shared" si="7" ref="C60:L60">+C58-C59</f>
        <v>508155493</v>
      </c>
      <c r="D60" s="44">
        <f t="shared" si="7"/>
        <v>0</v>
      </c>
      <c r="E60" s="44">
        <f t="shared" si="7"/>
        <v>66171090</v>
      </c>
      <c r="F60" s="54">
        <f t="shared" si="7"/>
        <v>69233719</v>
      </c>
      <c r="G60" s="44">
        <f t="shared" si="7"/>
        <v>41657092</v>
      </c>
      <c r="H60" s="55">
        <f t="shared" si="7"/>
        <v>177406347</v>
      </c>
      <c r="I60" s="55">
        <f t="shared" si="7"/>
        <v>48998228.00000001</v>
      </c>
      <c r="J60" s="55">
        <f t="shared" si="7"/>
        <v>103467535</v>
      </c>
      <c r="K60" s="44">
        <f t="shared" si="7"/>
        <v>1075571</v>
      </c>
      <c r="L60" s="44">
        <f t="shared" si="7"/>
        <v>145911</v>
      </c>
      <c r="M60" s="34"/>
    </row>
    <row r="61" spans="5:12" ht="12.75">
      <c r="E61" s="2"/>
      <c r="F61" s="2"/>
      <c r="G61" s="2"/>
      <c r="H61" s="2"/>
      <c r="I61" s="2"/>
      <c r="J61" s="2"/>
      <c r="K61" s="2"/>
      <c r="L61" s="2"/>
    </row>
    <row r="62" spans="5:12" ht="12.75">
      <c r="E62" s="2"/>
      <c r="F62" s="2"/>
      <c r="G62" s="2"/>
      <c r="K62" s="2"/>
      <c r="L62" s="2"/>
    </row>
    <row r="63" spans="1:12" ht="12.75">
      <c r="A63" t="s">
        <v>67</v>
      </c>
      <c r="C63" s="2"/>
      <c r="E63" s="2"/>
      <c r="F63" s="2"/>
      <c r="G63" s="2"/>
      <c r="K63" s="2"/>
      <c r="L63" s="2"/>
    </row>
    <row r="64" spans="1:12" ht="12.75">
      <c r="A64" t="s">
        <v>68</v>
      </c>
      <c r="C64" t="s">
        <v>84</v>
      </c>
      <c r="E64" s="2" t="s">
        <v>83</v>
      </c>
      <c r="F64" s="2" t="s">
        <v>85</v>
      </c>
      <c r="G64" s="2" t="s">
        <v>88</v>
      </c>
      <c r="H64" s="2" t="s">
        <v>88</v>
      </c>
      <c r="K64" s="2"/>
      <c r="L64" s="2"/>
    </row>
    <row r="65" spans="3:12" ht="12.75">
      <c r="C65" s="2"/>
      <c r="E65" s="69" t="s">
        <v>86</v>
      </c>
      <c r="F65" s="2"/>
      <c r="G65" s="2" t="s">
        <v>91</v>
      </c>
      <c r="H65" s="2" t="s">
        <v>92</v>
      </c>
      <c r="K65" s="2">
        <f>643005391+80539</f>
        <v>643085930</v>
      </c>
      <c r="L65" s="2"/>
    </row>
    <row r="66" spans="2:12" ht="12.75">
      <c r="B66" t="s">
        <v>33</v>
      </c>
      <c r="C66" s="53">
        <f>642844225+7639296-5240704-2156887-80539+80539</f>
        <v>643085930</v>
      </c>
      <c r="E66" s="2">
        <f>642844225+7639296</f>
        <v>650483521</v>
      </c>
      <c r="F66" s="2">
        <f>C66-E66</f>
        <v>-7397591</v>
      </c>
      <c r="G66" s="2">
        <f>C66-C8</f>
        <v>60669616.68000007</v>
      </c>
      <c r="H66" s="2">
        <f>C66-C58</f>
        <v>60669617</v>
      </c>
      <c r="K66" s="2"/>
      <c r="L66" s="2"/>
    </row>
    <row r="67" spans="2:12" ht="12.75">
      <c r="B67" t="s">
        <v>82</v>
      </c>
      <c r="C67" s="53">
        <v>80814354</v>
      </c>
      <c r="E67" s="2">
        <v>80814354</v>
      </c>
      <c r="F67" s="2">
        <f>C67-E67</f>
        <v>0</v>
      </c>
      <c r="G67" s="2">
        <f>C67-C9</f>
        <v>6553534</v>
      </c>
      <c r="H67" s="2">
        <f>C67-C59</f>
        <v>6553534</v>
      </c>
      <c r="K67" s="2"/>
      <c r="L67" s="2"/>
    </row>
    <row r="68" spans="2:12" ht="12.75">
      <c r="B68" t="s">
        <v>35</v>
      </c>
      <c r="C68" s="53">
        <f>C66-C67</f>
        <v>562271576</v>
      </c>
      <c r="E68" s="2">
        <f>E66-E67</f>
        <v>569669167</v>
      </c>
      <c r="F68" s="2">
        <f>C68-E68</f>
        <v>-7397591</v>
      </c>
      <c r="G68" s="2">
        <f>C68-C10</f>
        <v>54116082.68000007</v>
      </c>
      <c r="H68" s="2">
        <f>C68-C60</f>
        <v>54116083</v>
      </c>
      <c r="K68" s="2"/>
      <c r="L68" s="2"/>
    </row>
    <row r="69" spans="5:12" ht="12.75">
      <c r="E69" s="2"/>
      <c r="F69" s="2"/>
      <c r="G69" s="2"/>
      <c r="K69" s="2"/>
      <c r="L69" s="2"/>
    </row>
    <row r="70" spans="5:12" ht="12.75">
      <c r="E70" s="2"/>
      <c r="F70" s="2"/>
      <c r="G70" s="2"/>
      <c r="K70" s="2"/>
      <c r="L70" s="2"/>
    </row>
    <row r="71" spans="5:12" ht="12.75">
      <c r="E71" s="2"/>
      <c r="F71" s="2"/>
      <c r="G71" s="2"/>
      <c r="K71" s="2"/>
      <c r="L71" s="2"/>
    </row>
    <row r="72" spans="5:12" ht="12.75">
      <c r="E72" s="2"/>
      <c r="F72" s="2"/>
      <c r="G72" s="2"/>
      <c r="K72" s="2"/>
      <c r="L72" s="2"/>
    </row>
    <row r="73" spans="3:12" ht="12.75">
      <c r="C73" t="s">
        <v>90</v>
      </c>
      <c r="E73" s="2"/>
      <c r="F73" s="2"/>
      <c r="G73" s="2"/>
      <c r="K73" s="2"/>
      <c r="L73" s="2"/>
    </row>
    <row r="74" spans="3:12" ht="12.75">
      <c r="C74" t="s">
        <v>89</v>
      </c>
      <c r="E74" s="2"/>
      <c r="F74" s="2"/>
      <c r="G74" s="2"/>
      <c r="K74" s="2"/>
      <c r="L74" s="2"/>
    </row>
    <row r="75" spans="3:12" ht="12.75">
      <c r="C75" t="s">
        <v>94</v>
      </c>
      <c r="E75" s="2"/>
      <c r="F75" s="2"/>
      <c r="G75" s="2"/>
      <c r="K75" s="2"/>
      <c r="L75" s="2"/>
    </row>
    <row r="76" spans="5:12" ht="12.75">
      <c r="E76" s="2"/>
      <c r="F76" s="2"/>
      <c r="G76" s="2"/>
      <c r="K76" s="2"/>
      <c r="L76" s="2"/>
    </row>
    <row r="77" spans="5:12" ht="12.75">
      <c r="E77" s="2"/>
      <c r="F77" s="2"/>
      <c r="G77" s="2"/>
      <c r="K77" s="2"/>
      <c r="L77" s="2"/>
    </row>
    <row r="78" spans="5:12" ht="12.75">
      <c r="E78" s="2"/>
      <c r="F78" s="2"/>
      <c r="G78" s="2"/>
      <c r="K78" s="2"/>
      <c r="L78" s="2"/>
    </row>
    <row r="79" spans="5:12" ht="12.75">
      <c r="E79" s="2"/>
      <c r="F79" s="2"/>
      <c r="G79" s="2"/>
      <c r="K79" s="2"/>
      <c r="L79" s="2"/>
    </row>
    <row r="80" spans="5:12" ht="12.75">
      <c r="E80" s="2"/>
      <c r="F80" s="2"/>
      <c r="G80" s="2"/>
      <c r="K80" s="2"/>
      <c r="L80" s="2"/>
    </row>
    <row r="81" spans="5:12" ht="12.75">
      <c r="E81" s="2"/>
      <c r="F81" s="2"/>
      <c r="G81" s="2"/>
      <c r="K81" s="2"/>
      <c r="L81" s="2"/>
    </row>
    <row r="82" spans="5:12" ht="12.75">
      <c r="E82" s="2"/>
      <c r="F82" s="2"/>
      <c r="G82" s="2"/>
      <c r="K82" s="2"/>
      <c r="L82" s="2"/>
    </row>
    <row r="83" spans="5:12" ht="12.75">
      <c r="E83" s="2"/>
      <c r="F83" s="2"/>
      <c r="G83" s="2"/>
      <c r="K83" s="2"/>
      <c r="L83" s="2"/>
    </row>
  </sheetData>
  <printOptions/>
  <pageMargins left="0.75" right="0.75" top="1" bottom="1" header="0.4921259845" footer="0.4921259845"/>
  <pageSetup horizontalDpi="600" verticalDpi="600" orientation="landscape" paperSize="9" scale="59" r:id="rId1"/>
  <rowBreaks count="1" manualBreakCount="1">
    <brk id="6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83"/>
  <sheetViews>
    <sheetView workbookViewId="0" topLeftCell="A1">
      <pane xSplit="2" ySplit="10" topLeftCell="C2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42" sqref="E42"/>
    </sheetView>
  </sheetViews>
  <sheetFormatPr defaultColWidth="9.140625" defaultRowHeight="12.75"/>
  <cols>
    <col min="1" max="1" width="27.7109375" style="0" customWidth="1"/>
    <col min="2" max="2" width="5.8515625" style="0" customWidth="1"/>
    <col min="3" max="3" width="15.00390625" style="0" customWidth="1"/>
    <col min="4" max="4" width="13.7109375" style="2" hidden="1" customWidth="1"/>
    <col min="5" max="5" width="13.140625" style="0" customWidth="1"/>
    <col min="6" max="6" width="13.00390625" style="4" customWidth="1"/>
    <col min="7" max="7" width="13.8515625" style="0" customWidth="1"/>
    <col min="8" max="8" width="13.28125" style="5" customWidth="1"/>
    <col min="9" max="10" width="12.57421875" style="5" customWidth="1"/>
    <col min="11" max="11" width="13.140625" style="0" customWidth="1"/>
    <col min="12" max="12" width="13.8515625" style="0" customWidth="1"/>
    <col min="13" max="13" width="13.00390625" style="0" customWidth="1"/>
    <col min="14" max="14" width="11.140625" style="0" bestFit="1" customWidth="1"/>
  </cols>
  <sheetData>
    <row r="1" spans="1:10" ht="18.75" customHeight="1">
      <c r="A1" s="1" t="s">
        <v>37</v>
      </c>
      <c r="B1" s="1"/>
      <c r="D1" s="3"/>
      <c r="F1"/>
      <c r="H1"/>
      <c r="I1" s="10" t="s">
        <v>64</v>
      </c>
      <c r="J1" s="2"/>
    </row>
    <row r="2" spans="1:9" ht="15.75">
      <c r="A2" s="1" t="s">
        <v>26</v>
      </c>
      <c r="B2" s="1"/>
      <c r="F2"/>
      <c r="G2" s="4" t="s">
        <v>93</v>
      </c>
      <c r="H2"/>
      <c r="I2"/>
    </row>
    <row r="3" spans="1:9" ht="18.75" customHeight="1">
      <c r="A3" s="1" t="s">
        <v>81</v>
      </c>
      <c r="B3" s="6"/>
      <c r="D3" s="7"/>
      <c r="F3"/>
      <c r="H3"/>
      <c r="I3"/>
    </row>
    <row r="4" spans="1:13" ht="13.5" customHeight="1" hidden="1">
      <c r="A4" s="8"/>
      <c r="B4" s="8"/>
      <c r="C4" s="13"/>
      <c r="D4" s="20"/>
      <c r="E4" s="9" t="s">
        <v>74</v>
      </c>
      <c r="F4" s="9" t="s">
        <v>75</v>
      </c>
      <c r="G4" s="20"/>
      <c r="H4" s="9" t="s">
        <v>76</v>
      </c>
      <c r="I4" s="9" t="s">
        <v>77</v>
      </c>
      <c r="J4" s="31" t="s">
        <v>78</v>
      </c>
      <c r="K4" s="13" t="s">
        <v>66</v>
      </c>
      <c r="L4" s="12" t="s">
        <v>66</v>
      </c>
      <c r="M4" s="13" t="s">
        <v>75</v>
      </c>
    </row>
    <row r="5" spans="1:13" ht="13.5" customHeight="1">
      <c r="A5" s="62"/>
      <c r="B5" s="63"/>
      <c r="C5" s="64" t="s">
        <v>38</v>
      </c>
      <c r="D5" s="65" t="s">
        <v>61</v>
      </c>
      <c r="E5" s="66" t="s">
        <v>39</v>
      </c>
      <c r="F5" s="66" t="s">
        <v>42</v>
      </c>
      <c r="G5" s="67" t="s">
        <v>45</v>
      </c>
      <c r="H5" s="66" t="s">
        <v>48</v>
      </c>
      <c r="I5" s="67" t="s">
        <v>51</v>
      </c>
      <c r="J5" s="66" t="s">
        <v>53</v>
      </c>
      <c r="K5" s="68" t="s">
        <v>54</v>
      </c>
      <c r="L5" s="64" t="s">
        <v>57</v>
      </c>
      <c r="M5" s="64" t="s">
        <v>59</v>
      </c>
    </row>
    <row r="6" spans="1:13" ht="12" customHeight="1">
      <c r="A6" s="57"/>
      <c r="B6" s="10"/>
      <c r="C6" s="13" t="s">
        <v>72</v>
      </c>
      <c r="D6" s="5" t="s">
        <v>63</v>
      </c>
      <c r="E6" s="32" t="s">
        <v>40</v>
      </c>
      <c r="F6" s="13" t="s">
        <v>43</v>
      </c>
      <c r="G6" s="12" t="s">
        <v>46</v>
      </c>
      <c r="H6" s="13" t="s">
        <v>50</v>
      </c>
      <c r="I6" s="12" t="s">
        <v>52</v>
      </c>
      <c r="J6" s="13" t="s">
        <v>47</v>
      </c>
      <c r="K6" s="12" t="s">
        <v>55</v>
      </c>
      <c r="L6" s="13" t="s">
        <v>58</v>
      </c>
      <c r="M6" s="13" t="s">
        <v>60</v>
      </c>
    </row>
    <row r="7" spans="1:13" ht="12" customHeight="1">
      <c r="A7" s="58"/>
      <c r="B7" s="8"/>
      <c r="C7" s="27"/>
      <c r="D7" s="5" t="s">
        <v>62</v>
      </c>
      <c r="E7" s="31" t="s">
        <v>41</v>
      </c>
      <c r="F7" s="13" t="s">
        <v>44</v>
      </c>
      <c r="G7" s="13" t="s">
        <v>47</v>
      </c>
      <c r="H7" s="13" t="s">
        <v>49</v>
      </c>
      <c r="I7" s="12" t="s">
        <v>44</v>
      </c>
      <c r="J7" s="13"/>
      <c r="K7" s="12" t="s">
        <v>56</v>
      </c>
      <c r="L7" s="13" t="s">
        <v>47</v>
      </c>
      <c r="M7" s="13" t="s">
        <v>65</v>
      </c>
    </row>
    <row r="8" spans="1:14" ht="14.25" customHeight="1">
      <c r="A8" s="56" t="s">
        <v>0</v>
      </c>
      <c r="C8" s="14">
        <f>SUM(C12:C23)</f>
        <v>643085930.3876745</v>
      </c>
      <c r="D8" s="2">
        <f>SUM(D12:D23)</f>
        <v>0</v>
      </c>
      <c r="E8" s="15">
        <f>SUM(E12:E23)</f>
        <v>68100581.82625657</v>
      </c>
      <c r="F8" s="2">
        <f aca="true" t="shared" si="0" ref="F8:M8">SUM(F12:F23)</f>
        <v>89013444.49580738</v>
      </c>
      <c r="G8" s="15">
        <f t="shared" si="0"/>
        <v>49635622.39850336</v>
      </c>
      <c r="H8" s="2">
        <f t="shared" si="0"/>
        <v>181420379.3495924</v>
      </c>
      <c r="I8" s="15">
        <f t="shared" si="0"/>
        <v>47651395.328918226</v>
      </c>
      <c r="J8" s="2">
        <f t="shared" si="0"/>
        <v>132749688.86112052</v>
      </c>
      <c r="K8" s="15">
        <f t="shared" si="0"/>
        <v>1316090.7868943624</v>
      </c>
      <c r="L8" s="2">
        <f t="shared" si="0"/>
        <v>6229310.751209775</v>
      </c>
      <c r="M8" s="15">
        <f t="shared" si="0"/>
        <v>66969416.589371786</v>
      </c>
      <c r="N8" s="2"/>
    </row>
    <row r="9" spans="1:13" ht="12.75">
      <c r="A9" s="56" t="s">
        <v>1</v>
      </c>
      <c r="C9" s="14">
        <f>SUM(C25:C32)</f>
        <v>80814354</v>
      </c>
      <c r="D9" s="2">
        <f>SUM(D25:D32)</f>
        <v>0</v>
      </c>
      <c r="E9" s="15">
        <f>SUM(E25:E32)</f>
        <v>1914718</v>
      </c>
      <c r="F9" s="2">
        <f aca="true" t="shared" si="1" ref="F9:M9">SUM(F25:F32)</f>
        <v>19655725</v>
      </c>
      <c r="G9" s="15">
        <f t="shared" si="1"/>
        <v>7888010</v>
      </c>
      <c r="H9" s="2">
        <f t="shared" si="1"/>
        <v>4017700</v>
      </c>
      <c r="I9" s="15">
        <f t="shared" si="1"/>
        <v>3150000</v>
      </c>
      <c r="J9" s="2">
        <f t="shared" si="1"/>
        <v>29444667</v>
      </c>
      <c r="K9" s="15">
        <f t="shared" si="1"/>
        <v>239100</v>
      </c>
      <c r="L9" s="2">
        <f t="shared" si="1"/>
        <v>6083400</v>
      </c>
      <c r="M9" s="15">
        <f t="shared" si="1"/>
        <v>8421034</v>
      </c>
    </row>
    <row r="10" spans="1:13" ht="12.75">
      <c r="A10" s="59" t="s">
        <v>2</v>
      </c>
      <c r="B10" s="16"/>
      <c r="C10" s="17">
        <f>+C8-C9</f>
        <v>562271576.3876745</v>
      </c>
      <c r="D10" s="18">
        <f>+D8-D9</f>
        <v>0</v>
      </c>
      <c r="E10" s="19">
        <f>+E8-E9</f>
        <v>66185863.82625657</v>
      </c>
      <c r="F10" s="18">
        <f aca="true" t="shared" si="2" ref="F10:M10">+F8-F9</f>
        <v>69357719.49580738</v>
      </c>
      <c r="G10" s="19">
        <f t="shared" si="2"/>
        <v>41747612.39850336</v>
      </c>
      <c r="H10" s="18">
        <f t="shared" si="2"/>
        <v>177402679.3495924</v>
      </c>
      <c r="I10" s="19">
        <f t="shared" si="2"/>
        <v>44501395.328918226</v>
      </c>
      <c r="J10" s="18">
        <f t="shared" si="2"/>
        <v>103305021.86112052</v>
      </c>
      <c r="K10" s="19">
        <f t="shared" si="2"/>
        <v>1076990.7868943624</v>
      </c>
      <c r="L10" s="18">
        <f t="shared" si="2"/>
        <v>145910.751209775</v>
      </c>
      <c r="M10" s="19">
        <f t="shared" si="2"/>
        <v>58548382.589371786</v>
      </c>
    </row>
    <row r="11" spans="1:13" ht="15.75" customHeight="1">
      <c r="A11" s="57" t="s">
        <v>3</v>
      </c>
      <c r="B11" s="10"/>
      <c r="C11" s="14"/>
      <c r="E11" s="15"/>
      <c r="F11" s="2"/>
      <c r="G11" s="40"/>
      <c r="H11" s="2"/>
      <c r="I11" s="15"/>
      <c r="J11" s="2"/>
      <c r="K11" s="15"/>
      <c r="L11" s="2"/>
      <c r="M11" s="15"/>
    </row>
    <row r="12" spans="1:13" ht="12.75">
      <c r="A12" s="60" t="s">
        <v>4</v>
      </c>
      <c r="B12" s="11"/>
      <c r="C12" s="14">
        <f aca="true" t="shared" si="3" ref="C12:C23">SUM(D12:M12)</f>
        <v>190210368.17970237</v>
      </c>
      <c r="E12" s="15">
        <f>'Tulosal-mom2010'!E13-('Tulosal-mom2010'!E13/'Tulosal-mom2010'!$C$13*2156887/1.2163)-28775-28775-54000</f>
        <v>8222321.749295816</v>
      </c>
      <c r="F12" s="15">
        <f>'Tulosal-mom2010'!F13-('Tulosal-mom2010'!F13/'Tulosal-mom2010'!$C$13*2156887/1.2163)-49300-16000</f>
        <v>18659646.245682452</v>
      </c>
      <c r="G12" s="15">
        <f>'Tulosal-mom2010'!G13-('Tulosal-mom2010'!G13/'Tulosal-mom2010'!$C$13*2156887/1.2163)-49300-82200</f>
        <v>22635972.941467278</v>
      </c>
      <c r="H12" s="15">
        <f>'Tulosal-mom2010'!H13-('Tulosal-mom2010'!H13/'Tulosal-mom2010'!$C$13*2156887/1.2163)-49300-180900-102000</f>
        <v>21802807.017378274</v>
      </c>
      <c r="I12" s="15">
        <f>'Tulosal-mom2010'!I13-('Tulosal-mom2010'!I13/'Tulosal-mom2010'!$C$13*2156887/1.2163)-57550-41100-16000</f>
        <v>13520029.53360616</v>
      </c>
      <c r="J12" s="15">
        <f>'Tulosal-mom2010'!J13-('Tulosal-mom2010'!J13/'Tulosal-mom2010'!$C$13*2156887/1.2163)-4100-462000</f>
        <v>67120051.9970058</v>
      </c>
      <c r="K12" s="15">
        <f>'Tulosal-mom2010'!K13-('Tulosal-mom2010'!K13/'Tulosal-mom2010'!$C$13*2156887/1.2163)-4100</f>
        <v>816756.4450452576</v>
      </c>
      <c r="L12" s="15">
        <f>'Tulosal-mom2010'!L13-('Tulosal-mom2010'!L13/'Tulosal-mom2010'!$C$13*2156887/1.2163)-4100</f>
        <v>2966687.7801053645</v>
      </c>
      <c r="M12" s="15">
        <f>'Tulosal-mom2010'!M13-('Tulosal-mom2010'!M13/'Tulosal-mom2010'!$C$13*2156887/1.2163)-330000</f>
        <v>34466094.47011596</v>
      </c>
    </row>
    <row r="13" spans="1:13" ht="12.75">
      <c r="A13" s="60" t="s">
        <v>5</v>
      </c>
      <c r="B13" s="11"/>
      <c r="C13" s="14">
        <f t="shared" si="3"/>
        <v>60796514.09197201</v>
      </c>
      <c r="D13" s="15">
        <f>+D12*$C$34/100</f>
        <v>0</v>
      </c>
      <c r="E13" s="15">
        <f>'Tulosal-mom2010'!E14-('Tulosal-mom2010'!E13/'Tulosal-mom2010'!$C$13*383569)-6225-6225-12000</f>
        <v>20098688.056960758</v>
      </c>
      <c r="F13" s="15">
        <f>'Tulosal-mom2010'!F14-('Tulosal-mom2010'!F13/'Tulosal-mom2010'!$C$13*383569)-10700-4000</f>
        <v>4223051.250124927</v>
      </c>
      <c r="G13" s="15">
        <f>'Tulosal-mom2010'!G14-('Tulosal-mom2010'!G13/'Tulosal-mom2010'!$C$13*383569)-10700-17800</f>
        <v>4896104.3610360855</v>
      </c>
      <c r="H13" s="15">
        <f>'Tulosal-mom2010'!H14-('Tulosal-mom2010'!H13/'Tulosal-mom2010'!$C$13*383569)-10700-39100-22000</f>
        <v>4716002.332214109</v>
      </c>
      <c r="I13" s="15">
        <f>'Tulosal-mom2010'!I14-('Tulosal-mom2010'!I13/'Tulosal-mom2010'!$C$13*383569)-12450-8900-4000</f>
        <v>3083830.795312066</v>
      </c>
      <c r="J13" s="15">
        <f>'Tulosal-mom2010'!J14-('Tulosal-mom2010'!J13/'Tulosal-mom2010'!$C$13*383569)-900-100000</f>
        <v>15280606.864114719</v>
      </c>
      <c r="K13" s="15">
        <f>'Tulosal-mom2010'!K14-('Tulosal-mom2010'!K13/'Tulosal-mom2010'!$C$13*383569)-900</f>
        <v>176651.34184910488</v>
      </c>
      <c r="L13" s="15">
        <f>'Tulosal-mom2010'!L14-('Tulosal-mom2010'!L13/'Tulosal-mom2010'!$C$13*383569)-900</f>
        <v>917354.9711044102</v>
      </c>
      <c r="M13" s="15">
        <f>'Tulosal-mom2010'!M14-('Tulosal-mom2010'!M13/'Tulosal-mom2010'!$C$13*383569)-70000</f>
        <v>7404224.119255822</v>
      </c>
    </row>
    <row r="14" spans="1:13" ht="12.75">
      <c r="A14" s="60" t="s">
        <v>6</v>
      </c>
      <c r="B14" s="11"/>
      <c r="C14" s="14">
        <f t="shared" si="3"/>
        <v>0</v>
      </c>
      <c r="E14" s="15">
        <v>0</v>
      </c>
      <c r="F14" s="2">
        <v>0</v>
      </c>
      <c r="G14" s="45"/>
      <c r="H14" s="2">
        <v>0</v>
      </c>
      <c r="I14" s="45">
        <v>0</v>
      </c>
      <c r="J14" s="2">
        <v>0</v>
      </c>
      <c r="K14" s="15">
        <v>0</v>
      </c>
      <c r="L14" s="2">
        <v>0</v>
      </c>
      <c r="M14" s="15">
        <v>0</v>
      </c>
    </row>
    <row r="15" spans="1:13" ht="12.75">
      <c r="A15" s="60" t="s">
        <v>7</v>
      </c>
      <c r="B15" s="11"/>
      <c r="C15" s="14">
        <f t="shared" si="3"/>
        <v>16122783.146</v>
      </c>
      <c r="E15" s="15">
        <v>2655482.5</v>
      </c>
      <c r="F15" s="2">
        <v>1038236</v>
      </c>
      <c r="G15" s="45">
        <f>3622898.646-10000</f>
        <v>3612898.646</v>
      </c>
      <c r="H15" s="2">
        <v>2180000</v>
      </c>
      <c r="I15" s="45">
        <v>1067372</v>
      </c>
      <c r="J15" s="2">
        <f>4670851-(0.25*190000)</f>
        <v>4623351</v>
      </c>
      <c r="K15" s="15">
        <v>45760</v>
      </c>
      <c r="L15" s="2">
        <v>138650</v>
      </c>
      <c r="M15" s="14">
        <v>761033</v>
      </c>
    </row>
    <row r="16" spans="1:13" ht="12.75">
      <c r="A16" s="60" t="s">
        <v>8</v>
      </c>
      <c r="B16" s="11"/>
      <c r="C16" s="14">
        <f t="shared" si="3"/>
        <v>82340627.87</v>
      </c>
      <c r="E16" s="15">
        <f>5891259.52+(12*203*(139+196+12))-33000</f>
        <v>6703551.52</v>
      </c>
      <c r="F16" s="2">
        <f>3230593+(12*203*308)</f>
        <v>3980881</v>
      </c>
      <c r="G16" s="45">
        <f>12714391.35-320000+(12*203*600)-220000-100000</f>
        <v>13535991.35</v>
      </c>
      <c r="H16" s="2">
        <f>24952746+(12*203*459)</f>
        <v>26070870</v>
      </c>
      <c r="I16" s="45">
        <f>7516358+(12*203*(131+139))</f>
        <v>8174078</v>
      </c>
      <c r="J16" s="2">
        <f>14145146-420000+(12*203*(130+604))-(0.75*190000)</f>
        <v>15370670</v>
      </c>
      <c r="K16" s="15">
        <f>185675+(12*203*23)</f>
        <v>241703</v>
      </c>
      <c r="L16" s="2">
        <f>1479750+(12*203*88)-92000</f>
        <v>1602118</v>
      </c>
      <c r="M16" s="15">
        <f>5912913+(12*203*307)</f>
        <v>6660765</v>
      </c>
    </row>
    <row r="17" spans="1:13" ht="12.75">
      <c r="A17" s="60" t="s">
        <v>9</v>
      </c>
      <c r="B17" s="11"/>
      <c r="C17" s="14">
        <f t="shared" si="3"/>
        <v>206177723.1</v>
      </c>
      <c r="E17" s="15">
        <v>0</v>
      </c>
      <c r="F17" s="2">
        <f>26646174-100000-300000</f>
        <v>26246174</v>
      </c>
      <c r="G17" s="45">
        <f>3807513.1-60000</f>
        <v>3747513.1</v>
      </c>
      <c r="H17" s="2">
        <f>126885500-300000-500000-100000</f>
        <v>125985500</v>
      </c>
      <c r="I17" s="45">
        <f>19500000-100000-100000</f>
        <v>19300000</v>
      </c>
      <c r="J17" s="2">
        <f>26290536-587000+100000-155000</f>
        <v>25648536</v>
      </c>
      <c r="K17" s="15">
        <v>0</v>
      </c>
      <c r="L17" s="2">
        <v>0</v>
      </c>
      <c r="M17" s="15">
        <v>5250000</v>
      </c>
    </row>
    <row r="18" spans="1:13" ht="12.75">
      <c r="A18" s="60" t="s">
        <v>10</v>
      </c>
      <c r="B18" s="11"/>
      <c r="C18" s="14">
        <f t="shared" si="3"/>
        <v>2901968</v>
      </c>
      <c r="E18" s="15">
        <v>281430</v>
      </c>
      <c r="F18" s="2">
        <v>103341</v>
      </c>
      <c r="G18" s="45">
        <v>501146</v>
      </c>
      <c r="H18" s="2">
        <v>477700</v>
      </c>
      <c r="I18" s="45">
        <v>266137</v>
      </c>
      <c r="J18" s="2">
        <v>608564</v>
      </c>
      <c r="K18" s="15">
        <v>33350</v>
      </c>
      <c r="L18" s="2">
        <f>646000-58000</f>
        <v>588000</v>
      </c>
      <c r="M18" s="15">
        <v>42300</v>
      </c>
    </row>
    <row r="19" spans="1:13" ht="12.75">
      <c r="A19" s="60" t="s">
        <v>11</v>
      </c>
      <c r="B19" s="11"/>
      <c r="C19" s="14">
        <f t="shared" si="3"/>
        <v>54180037</v>
      </c>
      <c r="E19" s="15">
        <v>120000</v>
      </c>
      <c r="F19" s="2">
        <f>32922285+2500000-600000-100000</f>
        <v>34722285</v>
      </c>
      <c r="G19" s="45">
        <v>667200</v>
      </c>
      <c r="H19" s="2">
        <v>150000</v>
      </c>
      <c r="I19" s="45">
        <f>2388530-200000</f>
        <v>2188530</v>
      </c>
      <c r="J19" s="2">
        <f>4952022-900000</f>
        <v>4052022</v>
      </c>
      <c r="K19" s="15">
        <v>0</v>
      </c>
      <c r="L19" s="2">
        <v>0</v>
      </c>
      <c r="M19" s="15">
        <f>12680000-400000</f>
        <v>12280000</v>
      </c>
    </row>
    <row r="20" spans="1:13" ht="12.75">
      <c r="A20" s="60" t="s">
        <v>12</v>
      </c>
      <c r="B20" s="11"/>
      <c r="C20" s="14">
        <f t="shared" si="3"/>
        <v>4000</v>
      </c>
      <c r="E20" s="15">
        <v>0</v>
      </c>
      <c r="F20" s="2">
        <v>0</v>
      </c>
      <c r="G20" s="45"/>
      <c r="H20" s="2">
        <v>4000</v>
      </c>
      <c r="I20" s="45">
        <v>0</v>
      </c>
      <c r="J20" s="2">
        <v>0</v>
      </c>
      <c r="K20" s="15">
        <v>0</v>
      </c>
      <c r="L20" s="2">
        <v>0</v>
      </c>
      <c r="M20" s="15">
        <v>0</v>
      </c>
    </row>
    <row r="21" spans="1:13" ht="12.75">
      <c r="A21" s="60" t="s">
        <v>13</v>
      </c>
      <c r="B21" s="11"/>
      <c r="C21" s="14">
        <f t="shared" si="3"/>
        <v>620020</v>
      </c>
      <c r="E21" s="15">
        <v>310811</v>
      </c>
      <c r="F21" s="2">
        <v>39830</v>
      </c>
      <c r="G21" s="45">
        <v>32796</v>
      </c>
      <c r="H21" s="2">
        <v>31500</v>
      </c>
      <c r="I21" s="45">
        <v>42276</v>
      </c>
      <c r="J21" s="2">
        <v>45887</v>
      </c>
      <c r="K21" s="15">
        <v>1420</v>
      </c>
      <c r="L21" s="2">
        <v>10500</v>
      </c>
      <c r="M21" s="15">
        <v>105000</v>
      </c>
    </row>
    <row r="22" spans="1:13" ht="12.75">
      <c r="A22" s="60" t="s">
        <v>14</v>
      </c>
      <c r="B22" s="11"/>
      <c r="C22" s="14">
        <f t="shared" si="3"/>
        <v>29691297</v>
      </c>
      <c r="E22" s="15">
        <f>30560000-200000-130000-100000-150000-43000-40000-205703</f>
        <v>29691297</v>
      </c>
      <c r="F22" s="35">
        <v>0</v>
      </c>
      <c r="G22" s="45"/>
      <c r="H22" s="2">
        <v>0</v>
      </c>
      <c r="I22" s="45">
        <v>0</v>
      </c>
      <c r="J22" s="2">
        <v>0</v>
      </c>
      <c r="K22" s="15">
        <v>0</v>
      </c>
      <c r="L22" s="2">
        <v>0</v>
      </c>
      <c r="M22" s="15">
        <v>0</v>
      </c>
    </row>
    <row r="23" spans="1:13" ht="12.75">
      <c r="A23" s="60" t="s">
        <v>15</v>
      </c>
      <c r="B23" s="11"/>
      <c r="C23" s="14">
        <f t="shared" si="3"/>
        <v>40592</v>
      </c>
      <c r="E23" s="15">
        <v>17000</v>
      </c>
      <c r="F23" s="2">
        <v>0</v>
      </c>
      <c r="G23" s="45">
        <v>6000</v>
      </c>
      <c r="H23" s="2">
        <v>2000</v>
      </c>
      <c r="I23" s="45">
        <v>9142</v>
      </c>
      <c r="J23" s="2">
        <v>0</v>
      </c>
      <c r="K23" s="15">
        <v>450</v>
      </c>
      <c r="L23" s="2">
        <v>6000</v>
      </c>
      <c r="M23" s="15">
        <v>0</v>
      </c>
    </row>
    <row r="24" spans="1:13" ht="21" customHeight="1">
      <c r="A24" s="56" t="s">
        <v>16</v>
      </c>
      <c r="C24" s="14"/>
      <c r="E24" s="15"/>
      <c r="F24" s="2"/>
      <c r="G24" s="45"/>
      <c r="H24" s="2"/>
      <c r="I24" s="45">
        <v>0</v>
      </c>
      <c r="J24" s="2"/>
      <c r="K24" s="15"/>
      <c r="L24" s="2"/>
      <c r="M24" s="15"/>
    </row>
    <row r="25" spans="1:13" ht="12.75">
      <c r="A25" s="60" t="s">
        <v>17</v>
      </c>
      <c r="B25" s="11"/>
      <c r="C25" s="14">
        <f aca="true" t="shared" si="4" ref="C25:C32">SUM(D25:M25)</f>
        <v>21024647</v>
      </c>
      <c r="E25" s="15">
        <v>401500</v>
      </c>
      <c r="F25" s="2">
        <v>4274004</v>
      </c>
      <c r="G25" s="45">
        <v>3129260</v>
      </c>
      <c r="H25" s="2">
        <v>847000</v>
      </c>
      <c r="I25" s="45">
        <v>2517969</v>
      </c>
      <c r="J25" s="2">
        <v>3651432</v>
      </c>
      <c r="K25" s="15">
        <v>63100</v>
      </c>
      <c r="L25" s="2">
        <f>5840000</f>
        <v>5840000</v>
      </c>
      <c r="M25" s="15">
        <v>300382</v>
      </c>
    </row>
    <row r="26" spans="1:13" ht="12.75">
      <c r="A26" s="60" t="s">
        <v>18</v>
      </c>
      <c r="B26" s="11"/>
      <c r="C26" s="14">
        <f t="shared" si="4"/>
        <v>42106913</v>
      </c>
      <c r="E26" s="15">
        <v>140000</v>
      </c>
      <c r="F26" s="2">
        <v>1231981</v>
      </c>
      <c r="G26" s="45">
        <v>4111650</v>
      </c>
      <c r="H26" s="2">
        <v>2846000</v>
      </c>
      <c r="I26" s="45">
        <v>310217</v>
      </c>
      <c r="J26" s="2">
        <v>25480785</v>
      </c>
      <c r="K26" s="15">
        <v>176000</v>
      </c>
      <c r="L26" s="2">
        <v>70400</v>
      </c>
      <c r="M26" s="15">
        <v>7739880</v>
      </c>
    </row>
    <row r="27" spans="1:13" ht="12.75">
      <c r="A27" s="60" t="s">
        <v>19</v>
      </c>
      <c r="B27" s="11"/>
      <c r="C27" s="14">
        <f t="shared" si="4"/>
        <v>1479524</v>
      </c>
      <c r="E27" s="15">
        <v>1000000</v>
      </c>
      <c r="F27" s="2">
        <v>0</v>
      </c>
      <c r="G27" s="45"/>
      <c r="H27" s="2">
        <v>3500</v>
      </c>
      <c r="I27" s="45">
        <v>172574</v>
      </c>
      <c r="J27" s="2">
        <v>303450</v>
      </c>
      <c r="K27" s="15">
        <v>0</v>
      </c>
      <c r="L27" s="2">
        <v>0</v>
      </c>
      <c r="M27" s="15">
        <v>0</v>
      </c>
    </row>
    <row r="28" spans="1:13" ht="12.75">
      <c r="A28" s="60" t="s">
        <v>20</v>
      </c>
      <c r="B28" s="11"/>
      <c r="C28" s="14">
        <f t="shared" si="4"/>
        <v>13248620</v>
      </c>
      <c r="E28" s="15">
        <v>0</v>
      </c>
      <c r="F28" s="2">
        <f>10742980+1250000</f>
        <v>11992980</v>
      </c>
      <c r="G28" s="45">
        <v>645600</v>
      </c>
      <c r="H28" s="2">
        <v>301200</v>
      </c>
      <c r="I28" s="45">
        <v>135840</v>
      </c>
      <c r="J28" s="2">
        <v>0</v>
      </c>
      <c r="K28" s="15">
        <v>0</v>
      </c>
      <c r="L28" s="2">
        <v>173000</v>
      </c>
      <c r="M28" s="15">
        <v>0</v>
      </c>
    </row>
    <row r="29" spans="1:13" ht="12.75">
      <c r="A29" s="60" t="s">
        <v>21</v>
      </c>
      <c r="B29" s="11"/>
      <c r="C29" s="14">
        <f t="shared" si="4"/>
        <v>0</v>
      </c>
      <c r="E29" s="15">
        <v>0</v>
      </c>
      <c r="F29" s="2">
        <v>0</v>
      </c>
      <c r="G29" s="45"/>
      <c r="H29" s="2">
        <v>0</v>
      </c>
      <c r="I29" s="45">
        <v>0</v>
      </c>
      <c r="J29" s="2">
        <v>0</v>
      </c>
      <c r="K29" s="15">
        <v>0</v>
      </c>
      <c r="L29" s="2">
        <v>0</v>
      </c>
      <c r="M29" s="15">
        <v>0</v>
      </c>
    </row>
    <row r="30" spans="1:13" ht="12.75">
      <c r="A30" s="60" t="s">
        <v>22</v>
      </c>
      <c r="B30" s="11"/>
      <c r="C30" s="14">
        <f t="shared" si="4"/>
        <v>2954650</v>
      </c>
      <c r="E30" s="15">
        <v>373218</v>
      </c>
      <c r="F30" s="2">
        <v>2156760</v>
      </c>
      <c r="G30" s="45">
        <v>1500</v>
      </c>
      <c r="H30" s="2">
        <v>20000</v>
      </c>
      <c r="I30" s="45">
        <v>13400</v>
      </c>
      <c r="J30" s="2">
        <v>9000</v>
      </c>
      <c r="K30" s="15">
        <v>0</v>
      </c>
      <c r="L30" s="2">
        <v>0</v>
      </c>
      <c r="M30" s="15">
        <v>380772</v>
      </c>
    </row>
    <row r="31" spans="1:13" ht="12.75">
      <c r="A31" s="60" t="s">
        <v>23</v>
      </c>
      <c r="B31" s="11"/>
      <c r="C31" s="14">
        <f t="shared" si="4"/>
        <v>0</v>
      </c>
      <c r="E31" s="15">
        <v>0</v>
      </c>
      <c r="F31" s="2">
        <v>0</v>
      </c>
      <c r="G31" s="45"/>
      <c r="H31" s="2">
        <v>0</v>
      </c>
      <c r="I31" s="45">
        <v>0</v>
      </c>
      <c r="J31" s="2">
        <v>0</v>
      </c>
      <c r="K31" s="15">
        <v>0</v>
      </c>
      <c r="L31" s="2">
        <v>0</v>
      </c>
      <c r="M31" s="15">
        <v>0</v>
      </c>
    </row>
    <row r="32" spans="1:13" ht="12.75">
      <c r="A32" s="59" t="s">
        <v>24</v>
      </c>
      <c r="B32" s="16"/>
      <c r="C32" s="17">
        <f t="shared" si="4"/>
        <v>0</v>
      </c>
      <c r="D32" s="18"/>
      <c r="E32" s="19">
        <v>0</v>
      </c>
      <c r="F32" s="18">
        <v>0</v>
      </c>
      <c r="G32" s="46"/>
      <c r="H32" s="18">
        <v>0</v>
      </c>
      <c r="I32" s="46">
        <v>0</v>
      </c>
      <c r="J32" s="18">
        <v>0</v>
      </c>
      <c r="K32" s="19">
        <v>0</v>
      </c>
      <c r="L32" s="18">
        <v>0</v>
      </c>
      <c r="M32" s="19">
        <v>0</v>
      </c>
    </row>
    <row r="33" spans="1:13" ht="12" customHeight="1">
      <c r="A33" s="56"/>
      <c r="C33" s="15"/>
      <c r="E33" s="15"/>
      <c r="F33" s="2"/>
      <c r="G33" s="45"/>
      <c r="H33" s="2"/>
      <c r="I33" s="45"/>
      <c r="J33" s="2"/>
      <c r="K33" s="26"/>
      <c r="L33" s="26"/>
      <c r="M33" s="40"/>
    </row>
    <row r="34" spans="1:13" ht="12.75">
      <c r="A34" s="56" t="s">
        <v>25</v>
      </c>
      <c r="C34" s="21">
        <v>21.63</v>
      </c>
      <c r="F34" s="2"/>
      <c r="G34" s="45"/>
      <c r="H34" s="2"/>
      <c r="I34" s="45"/>
      <c r="J34" s="2"/>
      <c r="K34" s="26"/>
      <c r="L34" s="26"/>
      <c r="M34" s="15"/>
    </row>
    <row r="35" spans="1:13" ht="12.75">
      <c r="A35" s="56"/>
      <c r="C35" s="15"/>
      <c r="F35"/>
      <c r="G35" s="45"/>
      <c r="H35" s="2"/>
      <c r="I35" s="45"/>
      <c r="J35"/>
      <c r="K35" s="26"/>
      <c r="L35" s="26"/>
      <c r="M35" s="15"/>
    </row>
    <row r="36" spans="1:13" ht="12.75" hidden="1">
      <c r="A36" s="56"/>
      <c r="C36" s="15"/>
      <c r="F36" t="s">
        <v>70</v>
      </c>
      <c r="G36" s="45"/>
      <c r="H36" s="2"/>
      <c r="I36" s="45"/>
      <c r="J36" t="s">
        <v>70</v>
      </c>
      <c r="K36" s="26"/>
      <c r="L36" s="26"/>
      <c r="M36" s="15"/>
    </row>
    <row r="37" spans="1:13" ht="12.75" customHeight="1">
      <c r="A37" s="57" t="s">
        <v>36</v>
      </c>
      <c r="B37" s="10"/>
      <c r="C37" s="15"/>
      <c r="E37" s="15"/>
      <c r="G37" s="45"/>
      <c r="H37" s="2"/>
      <c r="I37" s="45"/>
      <c r="K37" s="26"/>
      <c r="L37" s="26"/>
      <c r="M37" s="15"/>
    </row>
    <row r="38" spans="1:13" ht="12.75" customHeight="1">
      <c r="A38" s="57"/>
      <c r="B38" s="10"/>
      <c r="C38" s="13" t="s">
        <v>38</v>
      </c>
      <c r="D38" s="5" t="s">
        <v>61</v>
      </c>
      <c r="E38" s="31" t="s">
        <v>39</v>
      </c>
      <c r="F38" s="31" t="s">
        <v>42</v>
      </c>
      <c r="G38" s="9" t="s">
        <v>45</v>
      </c>
      <c r="H38" s="31" t="s">
        <v>48</v>
      </c>
      <c r="I38" s="9" t="s">
        <v>51</v>
      </c>
      <c r="J38" s="31" t="s">
        <v>53</v>
      </c>
      <c r="K38" s="12" t="s">
        <v>54</v>
      </c>
      <c r="L38" s="13" t="s">
        <v>57</v>
      </c>
      <c r="M38" s="13" t="s">
        <v>59</v>
      </c>
    </row>
    <row r="39" spans="1:13" ht="12.75" customHeight="1">
      <c r="A39" s="57"/>
      <c r="B39" s="10"/>
      <c r="C39" s="13" t="s">
        <v>72</v>
      </c>
      <c r="D39" s="5" t="s">
        <v>63</v>
      </c>
      <c r="E39" s="32" t="s">
        <v>40</v>
      </c>
      <c r="F39" s="13" t="s">
        <v>43</v>
      </c>
      <c r="G39" s="12" t="s">
        <v>46</v>
      </c>
      <c r="H39" s="13" t="s">
        <v>50</v>
      </c>
      <c r="I39" s="12" t="s">
        <v>52</v>
      </c>
      <c r="J39" s="13" t="s">
        <v>47</v>
      </c>
      <c r="K39" s="12" t="s">
        <v>55</v>
      </c>
      <c r="L39" s="13" t="s">
        <v>58</v>
      </c>
      <c r="M39" s="13" t="s">
        <v>60</v>
      </c>
    </row>
    <row r="40" spans="1:13" ht="12.75" customHeight="1">
      <c r="A40" s="61"/>
      <c r="B40" s="51"/>
      <c r="C40" s="47"/>
      <c r="D40" s="48" t="s">
        <v>62</v>
      </c>
      <c r="E40" s="49" t="s">
        <v>41</v>
      </c>
      <c r="F40" s="50" t="s">
        <v>44</v>
      </c>
      <c r="G40" s="50" t="s">
        <v>47</v>
      </c>
      <c r="H40" s="50" t="s">
        <v>49</v>
      </c>
      <c r="I40" s="29" t="s">
        <v>44</v>
      </c>
      <c r="J40" s="50"/>
      <c r="K40" s="29" t="s">
        <v>56</v>
      </c>
      <c r="L40" s="50" t="s">
        <v>47</v>
      </c>
      <c r="M40" s="50" t="s">
        <v>65</v>
      </c>
    </row>
    <row r="41" spans="1:13" ht="12.75">
      <c r="A41" s="60"/>
      <c r="B41" s="11"/>
      <c r="C41" s="25"/>
      <c r="E41" s="15"/>
      <c r="F41" s="2"/>
      <c r="G41" s="45"/>
      <c r="H41" s="2"/>
      <c r="I41" s="45"/>
      <c r="J41" s="2"/>
      <c r="K41" s="26"/>
      <c r="L41" s="26"/>
      <c r="M41" s="15"/>
    </row>
    <row r="42" spans="1:13" ht="12.75">
      <c r="A42" s="57" t="s">
        <v>27</v>
      </c>
      <c r="B42" s="12" t="s">
        <v>33</v>
      </c>
      <c r="C42" s="14">
        <f>SUM(D42:M42)</f>
        <v>149275564.03044674</v>
      </c>
      <c r="D42" s="22"/>
      <c r="E42" s="33">
        <f>'Tulosal-mom2010'!E43/'Tulosal-mom2010'!$E$59*68708285-(0.8*35000)-150000-43000-40000</f>
        <v>15706805.434</v>
      </c>
      <c r="F42" s="38">
        <f>'Tulosal-mom2010'!F43/'Tulosal-mom2010'!$F$59*(89343156+750288)-300000-100000</f>
        <v>33321975.342426635</v>
      </c>
      <c r="G42" s="45">
        <f>'Tulosal-mom2010'!G43/'Tulosal-mom2010'!$G$59*(48724022+1461600)-(0.7*100000+100000+10000)+110000</f>
        <v>12484491.744585803</v>
      </c>
      <c r="H42" s="38">
        <f>'Tulosal-mom2010'!H43/'Tulosal-mom2010'!$H$59*(180806255+1118124)-(0.6*124000)</f>
        <v>13446492.869177742</v>
      </c>
      <c r="I42" s="45">
        <f>'Tulosal-mom2010'!I43/'Tulosal-mom2010'!$I$59*(47533075+657720)-(0.5*50000+100000)+50000</f>
        <v>7346381.640256554</v>
      </c>
      <c r="J42" s="22"/>
      <c r="K42" s="26">
        <v>0</v>
      </c>
      <c r="L42" s="26">
        <v>0</v>
      </c>
      <c r="M42" s="15">
        <f>66621565+747852-400000</f>
        <v>66969417</v>
      </c>
    </row>
    <row r="43" spans="1:13" ht="12.75">
      <c r="A43" s="57" t="s">
        <v>28</v>
      </c>
      <c r="B43" s="12" t="s">
        <v>34</v>
      </c>
      <c r="C43" s="14">
        <f>SUM(D43:M43)</f>
        <v>16458713.938336886</v>
      </c>
      <c r="D43" s="22"/>
      <c r="E43" s="33">
        <f>20.37/100*E9</f>
        <v>390028.0566</v>
      </c>
      <c r="F43" s="38">
        <f>'Tulosal-mom2010'!F44/'Tulosal-mom2010'!$F$60*$F$9</f>
        <v>7357138.002542008</v>
      </c>
      <c r="G43" s="45">
        <v>0</v>
      </c>
      <c r="H43" s="38">
        <v>126714</v>
      </c>
      <c r="I43" s="45">
        <v>163799.87919487906</v>
      </c>
      <c r="J43" s="38"/>
      <c r="K43" s="26">
        <v>0</v>
      </c>
      <c r="L43" s="26">
        <v>0</v>
      </c>
      <c r="M43" s="15">
        <v>8421034</v>
      </c>
    </row>
    <row r="44" spans="1:13" ht="12.75">
      <c r="A44" s="61"/>
      <c r="B44" s="29" t="s">
        <v>35</v>
      </c>
      <c r="C44" s="17">
        <f>+C42-C43</f>
        <v>132816850.09210986</v>
      </c>
      <c r="D44" s="30"/>
      <c r="E44" s="44">
        <f>+E42-E43</f>
        <v>15316777.3774</v>
      </c>
      <c r="F44" s="39">
        <f>+F42-F43</f>
        <v>25964837.339884628</v>
      </c>
      <c r="G44" s="46">
        <v>12412207.260385528</v>
      </c>
      <c r="H44" s="39">
        <v>13329581.221983692</v>
      </c>
      <c r="I44" s="46">
        <v>7184621.650825697</v>
      </c>
      <c r="J44" s="39"/>
      <c r="K44" s="36">
        <v>0</v>
      </c>
      <c r="L44" s="36">
        <v>0</v>
      </c>
      <c r="M44" s="19">
        <v>58591892</v>
      </c>
    </row>
    <row r="45" spans="1:13" ht="12.75">
      <c r="A45" s="57"/>
      <c r="B45" s="12"/>
      <c r="C45" s="14"/>
      <c r="D45" s="22"/>
      <c r="E45" s="33"/>
      <c r="F45" s="38"/>
      <c r="G45" s="45"/>
      <c r="H45" s="38"/>
      <c r="I45" s="45"/>
      <c r="J45" s="38"/>
      <c r="K45" s="26"/>
      <c r="L45" s="26"/>
      <c r="M45" s="15"/>
    </row>
    <row r="46" spans="1:13" ht="12.75">
      <c r="A46" s="57" t="s">
        <v>31</v>
      </c>
      <c r="B46" s="12" t="s">
        <v>33</v>
      </c>
      <c r="C46" s="14">
        <f>SUM(D46:M46)</f>
        <v>34729792.301426835</v>
      </c>
      <c r="D46" s="22"/>
      <c r="E46" s="33">
        <f>'Tulosal-mom2010'!E47/'Tulosal-mom2010'!$E$59*68708285-(0.2*35000)</f>
        <v>3696376.5615</v>
      </c>
      <c r="F46" s="38">
        <f>'Tulosal-mom2010'!F47/'Tulosal-mom2010'!$F$59*(89343156+750288)</f>
        <v>8829157.936543122</v>
      </c>
      <c r="G46" s="45">
        <f>'Tulosal-mom2010'!G47/'Tulosal-mom2010'!$G$59*(48724022+1461600)-(0.3*100000+100000+10000)</f>
        <v>5097111.959472303</v>
      </c>
      <c r="H46" s="38">
        <f>'Tulosal-mom2010'!H47/'Tulosal-mom2010'!$H$59*(180806255+1118124)-(0.4*124000)</f>
        <v>9922439.316431778</v>
      </c>
      <c r="I46" s="45">
        <f>'Tulosal-mom2010'!I47/'Tulosal-mom2010'!$I$59*(47533075+657720)-(0.5*50000+100000)+50000</f>
        <v>6527137.985406153</v>
      </c>
      <c r="J46" s="38"/>
      <c r="K46" s="26">
        <v>0</v>
      </c>
      <c r="L46" s="26">
        <f>'Tulosal-mom2010'!L47/'Tulosal-mom2010'!$L$59*(6169943+214368)</f>
        <v>657568.5420734828</v>
      </c>
      <c r="M46" s="15">
        <v>0</v>
      </c>
    </row>
    <row r="47" spans="1:13" ht="12.75">
      <c r="A47" s="57" t="s">
        <v>32</v>
      </c>
      <c r="B47" s="12" t="s">
        <v>34</v>
      </c>
      <c r="C47" s="14">
        <f>SUM(D47:M47)</f>
        <v>3573043.539623306</v>
      </c>
      <c r="D47" s="22"/>
      <c r="E47" s="33">
        <f>4.42/100*E9</f>
        <v>84630.53559999999</v>
      </c>
      <c r="F47" s="38">
        <f>'Tulosal-mom2010'!F48/'Tulosal-mom2010'!$F$60*$F$9</f>
        <v>1926261.0006655536</v>
      </c>
      <c r="G47" s="45">
        <v>553110</v>
      </c>
      <c r="H47" s="38">
        <v>217943</v>
      </c>
      <c r="I47" s="45">
        <v>170099.0033577523</v>
      </c>
      <c r="J47" s="38"/>
      <c r="K47" s="26">
        <v>0</v>
      </c>
      <c r="L47" s="26">
        <v>621000</v>
      </c>
      <c r="M47" s="15">
        <v>0</v>
      </c>
    </row>
    <row r="48" spans="1:13" ht="12.75">
      <c r="A48" s="61"/>
      <c r="B48" s="29" t="s">
        <v>35</v>
      </c>
      <c r="C48" s="17">
        <f>+C46-C47</f>
        <v>31156748.76180353</v>
      </c>
      <c r="D48" s="30"/>
      <c r="E48" s="44">
        <f>+E46-E47</f>
        <v>3611746.0259</v>
      </c>
      <c r="F48" s="39">
        <f>+F46-F47</f>
        <v>6902896.935877568</v>
      </c>
      <c r="G48" s="46">
        <v>4753298.417711952</v>
      </c>
      <c r="H48" s="39">
        <v>9706453.73218821</v>
      </c>
      <c r="I48" s="46">
        <v>6367132.912187301</v>
      </c>
      <c r="J48" s="39"/>
      <c r="K48" s="36">
        <v>0</v>
      </c>
      <c r="L48" s="36">
        <v>40010</v>
      </c>
      <c r="M48" s="19">
        <v>0</v>
      </c>
    </row>
    <row r="49" spans="1:13" ht="12.75">
      <c r="A49" s="57"/>
      <c r="B49" s="12"/>
      <c r="C49" s="14"/>
      <c r="D49" s="22"/>
      <c r="E49" s="33"/>
      <c r="F49" s="38"/>
      <c r="G49" s="45"/>
      <c r="H49" s="38"/>
      <c r="I49" s="45"/>
      <c r="J49" s="22"/>
      <c r="K49" s="26"/>
      <c r="L49" s="26"/>
      <c r="M49" s="15"/>
    </row>
    <row r="50" spans="1:13" ht="12.75">
      <c r="A50" s="57" t="s">
        <v>29</v>
      </c>
      <c r="B50" s="12" t="s">
        <v>33</v>
      </c>
      <c r="C50" s="14">
        <f>SUM(D50:M50)</f>
        <v>203494637.10897055</v>
      </c>
      <c r="D50" s="22"/>
      <c r="E50" s="33">
        <f>'Tulosal-mom2010'!E51/'Tulosal-mom2010'!$E$59*68708285-35000-33000</f>
        <v>21671301.374</v>
      </c>
      <c r="F50" s="38">
        <f>'Tulosal-mom2010'!F51/'Tulosal-mom2010'!$F$59*(89343156+750288)-600000-60000</f>
        <v>43638946.12939032</v>
      </c>
      <c r="G50" s="45">
        <f>'Tulosal-mom2010'!G51/'Tulosal-mom2010'!$G$59*(48724022+1461600)-60000-220000</f>
        <v>22169923.129113372</v>
      </c>
      <c r="H50" s="38">
        <f>'Tulosal-mom2010'!H51/'Tulosal-mom2010'!$H$59*(180806255+1118124)-60000-220000</f>
        <v>84310390.12467699</v>
      </c>
      <c r="I50" s="45">
        <f>'Tulosal-mom2010'!I51/'Tulosal-mom2010'!$I$59*(47533075+657720)+600-300000-70000</f>
        <v>20930930.912863337</v>
      </c>
      <c r="J50" s="38">
        <f>'Tulosal-mom2010'!J51/'Tulosal-mom2010'!$J$59*(132360665+1788024)-5000</f>
        <v>3885311.981</v>
      </c>
      <c r="K50" s="26">
        <f>1265063+56028-5000</f>
        <v>1316091</v>
      </c>
      <c r="L50" s="26">
        <f>'Tulosal-mom2010'!L51/'Tulosal-mom2010'!$L$59*(6169943+214368)-5000-150000</f>
        <v>5571742.457926517</v>
      </c>
      <c r="M50" s="15">
        <v>0</v>
      </c>
    </row>
    <row r="51" spans="1:13" ht="12.75">
      <c r="A51" s="57" t="s">
        <v>79</v>
      </c>
      <c r="B51" s="12" t="s">
        <v>34</v>
      </c>
      <c r="C51" s="14">
        <f>SUM(D51:M51)</f>
        <v>27168320.858353663</v>
      </c>
      <c r="D51" s="22"/>
      <c r="E51" s="33">
        <f>33.62/100*E9</f>
        <v>643728.1916</v>
      </c>
      <c r="F51" s="38">
        <f>'Tulosal-mom2010'!F52/'Tulosal-mom2010'!$F$60*$F$9</f>
        <v>9664720.003339315</v>
      </c>
      <c r="G51" s="45">
        <v>6781790</v>
      </c>
      <c r="H51" s="38">
        <v>1435735</v>
      </c>
      <c r="I51" s="45">
        <v>2381398.9904143466</v>
      </c>
      <c r="J51" s="38">
        <f>0.019*J9</f>
        <v>559448.673</v>
      </c>
      <c r="K51" s="26">
        <v>239100</v>
      </c>
      <c r="L51" s="26">
        <f>+L9-L47</f>
        <v>5462400</v>
      </c>
      <c r="M51" s="15">
        <v>0</v>
      </c>
    </row>
    <row r="52" spans="1:13" ht="12.75">
      <c r="A52" s="61"/>
      <c r="B52" s="29" t="s">
        <v>35</v>
      </c>
      <c r="C52" s="17">
        <f>+C50-C51</f>
        <v>176326316.25061688</v>
      </c>
      <c r="D52" s="30"/>
      <c r="E52" s="44">
        <f>+E50-E51</f>
        <v>21027573.182400003</v>
      </c>
      <c r="F52" s="39">
        <f>+F50-F51</f>
        <v>33974226.12605101</v>
      </c>
      <c r="G52" s="46">
        <v>15120068.84493332</v>
      </c>
      <c r="H52" s="39">
        <v>83550514.6414891</v>
      </c>
      <c r="I52" s="46">
        <v>18709526.913139753</v>
      </c>
      <c r="J52" s="39">
        <f>+J50-J51</f>
        <v>3325863.308</v>
      </c>
      <c r="K52" s="36">
        <f>+K50-K51</f>
        <v>1076991</v>
      </c>
      <c r="L52" s="36">
        <v>79946</v>
      </c>
      <c r="M52" s="19">
        <v>0</v>
      </c>
    </row>
    <row r="53" spans="1:13" ht="12.75">
      <c r="A53" s="57"/>
      <c r="B53" s="12"/>
      <c r="C53" s="14"/>
      <c r="D53" s="22"/>
      <c r="E53" s="33"/>
      <c r="F53" s="38"/>
      <c r="G53" s="45"/>
      <c r="H53" s="38"/>
      <c r="I53" s="45"/>
      <c r="J53" s="38"/>
      <c r="K53" s="26"/>
      <c r="L53" s="26"/>
      <c r="M53" s="15"/>
    </row>
    <row r="54" spans="1:13" ht="12.75">
      <c r="A54" s="57" t="s">
        <v>30</v>
      </c>
      <c r="B54" s="12" t="s">
        <v>33</v>
      </c>
      <c r="C54" s="14">
        <f>SUM(D54:M54)</f>
        <v>255585936.55915588</v>
      </c>
      <c r="D54" s="22"/>
      <c r="E54" s="33">
        <f>'Tulosal-mom2010'!E55/'Tulosal-mom2010'!$E$59*68708285-66000-205703</f>
        <v>27026098.6305</v>
      </c>
      <c r="F54" s="38">
        <f>'Tulosal-mom2010'!F55/'Tulosal-mom2010'!$F$59*(89343156+750288)-20000</f>
        <v>3223364.59163992</v>
      </c>
      <c r="G54" s="45">
        <f>'Tulosal-mom2010'!G55/'Tulosal-mom2010'!$G$59*(48724022+1461600)-60000</f>
        <v>9884095.16682852</v>
      </c>
      <c r="H54" s="38">
        <f>'Tulosal-mom2010'!H55/'Tulosal-mom2010'!$H$59*(180806255+1118124)-100000</f>
        <v>73741056.68971351</v>
      </c>
      <c r="I54" s="45">
        <f>'Tulosal-mom2010'!I55/'Tulosal-mom2010'!$I$59*(47533075+657720)-20000</f>
        <v>12846944.461473962</v>
      </c>
      <c r="J54" s="38">
        <f>'Tulosal-mom2010'!J55/'Tulosal-mom2010'!$J$59*(132360665+1788024)-562000-190000-587000+100000-155000</f>
        <v>128864377.019</v>
      </c>
      <c r="K54" s="26">
        <v>0</v>
      </c>
      <c r="L54" s="26">
        <v>0</v>
      </c>
      <c r="M54" s="15">
        <v>0</v>
      </c>
    </row>
    <row r="55" spans="1:13" ht="12.75">
      <c r="A55" s="57" t="s">
        <v>73</v>
      </c>
      <c r="B55" s="12" t="s">
        <v>34</v>
      </c>
      <c r="C55" s="14">
        <f>SUM(D55:M55)</f>
        <v>33614275.66368615</v>
      </c>
      <c r="D55" s="22"/>
      <c r="E55" s="33">
        <f>41.59/100*E9</f>
        <v>796331.2162000001</v>
      </c>
      <c r="F55" s="38">
        <f>'Tulosal-mom2010'!F56/'Tulosal-mom2010'!$F$60*$F$9</f>
        <v>707605.9934531238</v>
      </c>
      <c r="G55" s="45">
        <v>553110</v>
      </c>
      <c r="H55" s="38">
        <v>2237308</v>
      </c>
      <c r="I55" s="45">
        <v>434702.1270330222</v>
      </c>
      <c r="J55" s="38">
        <f>0.981*J9</f>
        <v>28885218.327</v>
      </c>
      <c r="K55" s="26">
        <v>0</v>
      </c>
      <c r="L55" s="26">
        <v>0</v>
      </c>
      <c r="M55" s="15">
        <v>0</v>
      </c>
    </row>
    <row r="56" spans="1:13" ht="12.75">
      <c r="A56" s="61"/>
      <c r="B56" s="29" t="s">
        <v>35</v>
      </c>
      <c r="C56" s="17">
        <f>+C54-C55</f>
        <v>221971660.89546973</v>
      </c>
      <c r="D56" s="30"/>
      <c r="E56" s="44">
        <f>+E54-E55</f>
        <v>26229767.4143</v>
      </c>
      <c r="F56" s="39">
        <f>+F54-F55</f>
        <v>2515758.5981867965</v>
      </c>
      <c r="G56" s="46">
        <v>9126509.476969196</v>
      </c>
      <c r="H56" s="39">
        <v>71250964.404339</v>
      </c>
      <c r="I56" s="46">
        <v>12305746.523847254</v>
      </c>
      <c r="J56" s="39">
        <f>+J54-J55</f>
        <v>99979158.692</v>
      </c>
      <c r="K56" s="36">
        <v>0</v>
      </c>
      <c r="L56" s="36">
        <v>0</v>
      </c>
      <c r="M56" s="19">
        <v>0</v>
      </c>
    </row>
    <row r="57" spans="1:13" ht="12.75">
      <c r="A57" s="57"/>
      <c r="B57" s="12"/>
      <c r="C57" s="14"/>
      <c r="D57" s="22"/>
      <c r="E57" s="24"/>
      <c r="F57" s="24"/>
      <c r="G57" s="23"/>
      <c r="H57" s="42"/>
      <c r="I57" s="37"/>
      <c r="J57" s="23"/>
      <c r="K57" s="26"/>
      <c r="L57" s="26"/>
      <c r="M57" s="15"/>
    </row>
    <row r="58" spans="1:14" ht="12.75">
      <c r="A58" s="57" t="s">
        <v>80</v>
      </c>
      <c r="B58" s="12" t="s">
        <v>33</v>
      </c>
      <c r="C58" s="14">
        <f>+C42+C46+C50+C54</f>
        <v>643085930</v>
      </c>
      <c r="D58" s="33">
        <f aca="true" t="shared" si="5" ref="D58:L59">+D42+D46+D50+D54</f>
        <v>0</v>
      </c>
      <c r="E58" s="33">
        <f>+E42+E46+E50+E54</f>
        <v>68100582</v>
      </c>
      <c r="F58" s="37">
        <f>+F42+F46+F50+F54</f>
        <v>89013444</v>
      </c>
      <c r="G58" s="33">
        <f t="shared" si="5"/>
        <v>49635622</v>
      </c>
      <c r="H58" s="43">
        <f t="shared" si="5"/>
        <v>181420379</v>
      </c>
      <c r="I58" s="43">
        <f>+I42+I46+I50+I54</f>
        <v>47651395.00000001</v>
      </c>
      <c r="J58" s="43">
        <f>+J42+J46+J50+J54</f>
        <v>132749689</v>
      </c>
      <c r="K58" s="33">
        <f t="shared" si="5"/>
        <v>1316091</v>
      </c>
      <c r="L58" s="33">
        <f t="shared" si="5"/>
        <v>6229311</v>
      </c>
      <c r="M58" s="33">
        <f>+M42+M46+M50+M54</f>
        <v>66969417</v>
      </c>
      <c r="N58" s="34"/>
    </row>
    <row r="59" spans="1:14" ht="12.75">
      <c r="A59" s="56"/>
      <c r="B59" s="12" t="s">
        <v>34</v>
      </c>
      <c r="C59" s="14">
        <f>+C43+C47+C51+C55</f>
        <v>80814354</v>
      </c>
      <c r="D59" s="33">
        <f t="shared" si="5"/>
        <v>0</v>
      </c>
      <c r="E59" s="33">
        <f t="shared" si="5"/>
        <v>1914718.0000000002</v>
      </c>
      <c r="F59" s="37">
        <f t="shared" si="5"/>
        <v>19655725</v>
      </c>
      <c r="G59" s="33">
        <f t="shared" si="5"/>
        <v>7888010</v>
      </c>
      <c r="H59" s="43">
        <f t="shared" si="5"/>
        <v>4017700</v>
      </c>
      <c r="I59" s="43">
        <f>+I43+I47+I51+I55</f>
        <v>3150000</v>
      </c>
      <c r="J59" s="43">
        <f>+J43+J47+J51+J55</f>
        <v>29444667</v>
      </c>
      <c r="K59" s="33">
        <f t="shared" si="5"/>
        <v>239100</v>
      </c>
      <c r="L59" s="33">
        <f t="shared" si="5"/>
        <v>6083400</v>
      </c>
      <c r="M59" s="33">
        <f>+M43+M47+M51+M55</f>
        <v>8421034</v>
      </c>
      <c r="N59" s="34"/>
    </row>
    <row r="60" spans="1:14" ht="12.75">
      <c r="A60" s="59"/>
      <c r="B60" s="29" t="s">
        <v>35</v>
      </c>
      <c r="C60" s="17">
        <f>+C58-C59</f>
        <v>562271576</v>
      </c>
      <c r="D60" s="44">
        <f aca="true" t="shared" si="6" ref="D60:M60">+D58-D59</f>
        <v>0</v>
      </c>
      <c r="E60" s="44">
        <f t="shared" si="6"/>
        <v>66185864</v>
      </c>
      <c r="F60" s="54">
        <f t="shared" si="6"/>
        <v>69357719</v>
      </c>
      <c r="G60" s="44">
        <f t="shared" si="6"/>
        <v>41747612</v>
      </c>
      <c r="H60" s="55">
        <f t="shared" si="6"/>
        <v>177402679</v>
      </c>
      <c r="I60" s="55">
        <f t="shared" si="6"/>
        <v>44501395.00000001</v>
      </c>
      <c r="J60" s="55">
        <f t="shared" si="6"/>
        <v>103305022</v>
      </c>
      <c r="K60" s="44">
        <f t="shared" si="6"/>
        <v>1076991</v>
      </c>
      <c r="L60" s="44">
        <f t="shared" si="6"/>
        <v>145911</v>
      </c>
      <c r="M60" s="44">
        <f t="shared" si="6"/>
        <v>58548383</v>
      </c>
      <c r="N60" s="34"/>
    </row>
    <row r="61" spans="5:13" ht="12.75">
      <c r="E61" s="2"/>
      <c r="F61" s="2"/>
      <c r="G61" s="2"/>
      <c r="H61" s="2"/>
      <c r="I61" s="2"/>
      <c r="J61" s="2"/>
      <c r="K61" s="2"/>
      <c r="L61" s="2"/>
      <c r="M61" s="2"/>
    </row>
    <row r="62" spans="5:13" ht="12.75">
      <c r="E62" s="2"/>
      <c r="F62" s="2"/>
      <c r="G62" s="2"/>
      <c r="K62" s="2"/>
      <c r="L62" s="2"/>
      <c r="M62" s="2"/>
    </row>
    <row r="63" spans="1:13" ht="12.75">
      <c r="A63" t="s">
        <v>67</v>
      </c>
      <c r="C63" s="2"/>
      <c r="E63" s="2"/>
      <c r="F63" s="2"/>
      <c r="G63" s="2"/>
      <c r="K63" s="2"/>
      <c r="L63" s="2"/>
      <c r="M63" s="2"/>
    </row>
    <row r="64" spans="1:13" ht="12.75">
      <c r="A64" t="s">
        <v>68</v>
      </c>
      <c r="C64" t="s">
        <v>84</v>
      </c>
      <c r="E64" s="2" t="s">
        <v>83</v>
      </c>
      <c r="F64" s="2" t="s">
        <v>85</v>
      </c>
      <c r="G64" s="2" t="s">
        <v>88</v>
      </c>
      <c r="H64" s="2" t="s">
        <v>88</v>
      </c>
      <c r="K64" s="2"/>
      <c r="L64" s="2"/>
      <c r="M64" s="2"/>
    </row>
    <row r="65" spans="3:13" ht="12.75">
      <c r="C65" s="2"/>
      <c r="E65" s="69" t="s">
        <v>86</v>
      </c>
      <c r="F65" s="2"/>
      <c r="G65" s="2" t="s">
        <v>91</v>
      </c>
      <c r="H65" s="2" t="s">
        <v>92</v>
      </c>
      <c r="K65" s="2">
        <f>643005391+80539</f>
        <v>643085930</v>
      </c>
      <c r="L65" s="2"/>
      <c r="M65" s="2"/>
    </row>
    <row r="66" spans="2:13" ht="12.75">
      <c r="B66" t="s">
        <v>33</v>
      </c>
      <c r="C66" s="53">
        <f>642844225+7639296-5240704-2156887-80539+80539</f>
        <v>643085930</v>
      </c>
      <c r="E66" s="2">
        <f>642844225+7639296</f>
        <v>650483521</v>
      </c>
      <c r="F66" s="2">
        <f>C66-E66</f>
        <v>-7397591</v>
      </c>
      <c r="G66" s="2">
        <f>C66-C8</f>
        <v>-0.3876744508743286</v>
      </c>
      <c r="H66" s="2">
        <f>C66-C58</f>
        <v>0</v>
      </c>
      <c r="K66" s="2"/>
      <c r="L66" s="2"/>
      <c r="M66" s="2"/>
    </row>
    <row r="67" spans="2:13" ht="12.75">
      <c r="B67" t="s">
        <v>82</v>
      </c>
      <c r="C67" s="53">
        <v>80814354</v>
      </c>
      <c r="E67" s="2">
        <v>80814354</v>
      </c>
      <c r="F67" s="2">
        <f>C67-E67</f>
        <v>0</v>
      </c>
      <c r="G67" s="2">
        <f>C67-C9</f>
        <v>0</v>
      </c>
      <c r="H67" s="2">
        <f>C67-C59</f>
        <v>0</v>
      </c>
      <c r="K67" s="2"/>
      <c r="L67" s="2"/>
      <c r="M67" s="2"/>
    </row>
    <row r="68" spans="2:13" ht="12.75">
      <c r="B68" t="s">
        <v>35</v>
      </c>
      <c r="C68" s="53">
        <f>C66-C67</f>
        <v>562271576</v>
      </c>
      <c r="E68" s="2">
        <f>E66-E67</f>
        <v>569669167</v>
      </c>
      <c r="F68" s="2">
        <f>C68-E68</f>
        <v>-7397591</v>
      </c>
      <c r="G68" s="2">
        <f>C68-C10</f>
        <v>-0.3876744508743286</v>
      </c>
      <c r="H68" s="2">
        <f>C68-C60</f>
        <v>0</v>
      </c>
      <c r="K68" s="2"/>
      <c r="L68" s="2"/>
      <c r="M68" s="2"/>
    </row>
    <row r="69" spans="5:13" ht="12.75">
      <c r="E69" s="2"/>
      <c r="F69" s="2"/>
      <c r="G69" s="2"/>
      <c r="K69" s="2"/>
      <c r="L69" s="2"/>
      <c r="M69" s="2"/>
    </row>
    <row r="70" spans="5:13" ht="12.75">
      <c r="E70" s="2"/>
      <c r="F70" s="2"/>
      <c r="G70" s="2"/>
      <c r="K70" s="2"/>
      <c r="L70" s="2"/>
      <c r="M70" s="2"/>
    </row>
    <row r="71" spans="5:13" ht="12.75">
      <c r="E71" s="2"/>
      <c r="F71" s="2"/>
      <c r="G71" s="2"/>
      <c r="K71" s="2"/>
      <c r="L71" s="2"/>
      <c r="M71" s="2"/>
    </row>
    <row r="72" spans="5:13" ht="12.75">
      <c r="E72" s="2"/>
      <c r="F72" s="2"/>
      <c r="G72" s="2"/>
      <c r="K72" s="2"/>
      <c r="L72" s="2"/>
      <c r="M72" s="2"/>
    </row>
    <row r="73" spans="3:13" ht="12.75">
      <c r="C73" t="s">
        <v>90</v>
      </c>
      <c r="E73" s="2"/>
      <c r="F73" s="2"/>
      <c r="G73" s="2"/>
      <c r="K73" s="2"/>
      <c r="L73" s="2"/>
      <c r="M73" s="2"/>
    </row>
    <row r="74" spans="3:13" ht="12.75">
      <c r="C74" t="s">
        <v>89</v>
      </c>
      <c r="E74" s="2"/>
      <c r="F74" s="2"/>
      <c r="G74" s="2"/>
      <c r="K74" s="2"/>
      <c r="L74" s="2"/>
      <c r="M74" s="2"/>
    </row>
    <row r="75" spans="3:13" ht="12.75">
      <c r="C75" t="s">
        <v>94</v>
      </c>
      <c r="E75" s="2"/>
      <c r="F75" s="2"/>
      <c r="G75" s="2"/>
      <c r="K75" s="2"/>
      <c r="L75" s="2"/>
      <c r="M75" s="2"/>
    </row>
    <row r="76" spans="5:13" ht="12.75">
      <c r="E76" s="2"/>
      <c r="F76" s="2"/>
      <c r="G76" s="2"/>
      <c r="K76" s="2"/>
      <c r="L76" s="2"/>
      <c r="M76" s="2"/>
    </row>
    <row r="77" spans="5:13" ht="12.75">
      <c r="E77" s="2"/>
      <c r="F77" s="2"/>
      <c r="G77" s="2"/>
      <c r="K77" s="2"/>
      <c r="L77" s="2"/>
      <c r="M77" s="2"/>
    </row>
    <row r="78" spans="5:13" ht="12.75">
      <c r="E78" s="2"/>
      <c r="F78" s="2"/>
      <c r="G78" s="2"/>
      <c r="K78" s="2"/>
      <c r="L78" s="2"/>
      <c r="M78" s="2"/>
    </row>
    <row r="79" spans="5:13" ht="12.75">
      <c r="E79" s="2"/>
      <c r="F79" s="2"/>
      <c r="G79" s="2"/>
      <c r="K79" s="2"/>
      <c r="L79" s="2"/>
      <c r="M79" s="2"/>
    </row>
    <row r="80" spans="5:13" ht="12.75">
      <c r="E80" s="2"/>
      <c r="F80" s="2"/>
      <c r="G80" s="2"/>
      <c r="K80" s="2"/>
      <c r="L80" s="2"/>
      <c r="M80" s="2"/>
    </row>
    <row r="81" spans="5:13" ht="12.75">
      <c r="E81" s="2"/>
      <c r="F81" s="2"/>
      <c r="G81" s="2"/>
      <c r="K81" s="2"/>
      <c r="L81" s="2"/>
      <c r="M81" s="2"/>
    </row>
    <row r="82" spans="5:13" ht="12.75">
      <c r="E82" s="2"/>
      <c r="F82" s="2"/>
      <c r="G82" s="2"/>
      <c r="K82" s="2"/>
      <c r="L82" s="2"/>
      <c r="M82" s="2"/>
    </row>
    <row r="83" spans="5:13" ht="12.75">
      <c r="E83" s="2"/>
      <c r="F83" s="2"/>
      <c r="G83" s="2"/>
      <c r="K83" s="2"/>
      <c r="L83" s="2"/>
      <c r="M83" s="2"/>
    </row>
  </sheetData>
  <printOptions/>
  <pageMargins left="0.75" right="0.75" top="1" bottom="1" header="0.4921259845" footer="0.4921259845"/>
  <pageSetup horizontalDpi="600" verticalDpi="600" orientation="landscape" paperSize="9" scale="59" r:id="rId1"/>
  <rowBreaks count="1" manualBreakCount="1">
    <brk id="6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84"/>
  <sheetViews>
    <sheetView showGridLines="0" workbookViewId="0" topLeftCell="A1">
      <pane xSplit="3" ySplit="11" topLeftCell="D36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E43" sqref="E43"/>
    </sheetView>
  </sheetViews>
  <sheetFormatPr defaultColWidth="9.140625" defaultRowHeight="12.75"/>
  <cols>
    <col min="1" max="1" width="27.7109375" style="0" customWidth="1"/>
    <col min="2" max="2" width="5.8515625" style="0" customWidth="1"/>
    <col min="3" max="3" width="15.00390625" style="0" customWidth="1"/>
    <col min="4" max="4" width="13.7109375" style="2" hidden="1" customWidth="1"/>
    <col min="5" max="5" width="13.140625" style="0" customWidth="1"/>
    <col min="6" max="6" width="13.00390625" style="4" customWidth="1"/>
    <col min="7" max="7" width="13.8515625" style="0" customWidth="1"/>
    <col min="8" max="8" width="13.28125" style="5" customWidth="1"/>
    <col min="9" max="10" width="12.57421875" style="5" customWidth="1"/>
    <col min="11" max="11" width="13.140625" style="0" customWidth="1"/>
    <col min="12" max="12" width="13.8515625" style="0" customWidth="1"/>
    <col min="13" max="13" width="13.00390625" style="0" customWidth="1"/>
    <col min="14" max="14" width="11.140625" style="0" bestFit="1" customWidth="1"/>
  </cols>
  <sheetData>
    <row r="1" spans="1:13" ht="12.75">
      <c r="A1" t="s">
        <v>69</v>
      </c>
      <c r="F1" s="4" t="s">
        <v>74</v>
      </c>
      <c r="M1" s="10"/>
    </row>
    <row r="2" spans="1:10" ht="18.75" customHeight="1">
      <c r="A2" s="1" t="s">
        <v>37</v>
      </c>
      <c r="B2" s="1"/>
      <c r="D2" s="3"/>
      <c r="F2"/>
      <c r="H2"/>
      <c r="I2" s="10" t="s">
        <v>64</v>
      </c>
      <c r="J2" s="2"/>
    </row>
    <row r="3" spans="1:9" ht="15.75">
      <c r="A3" s="1" t="s">
        <v>26</v>
      </c>
      <c r="B3" s="1"/>
      <c r="F3"/>
      <c r="H3"/>
      <c r="I3"/>
    </row>
    <row r="4" spans="1:9" ht="18.75" customHeight="1">
      <c r="A4" s="1" t="s">
        <v>87</v>
      </c>
      <c r="B4" s="6"/>
      <c r="D4" s="7"/>
      <c r="F4"/>
      <c r="H4"/>
      <c r="I4"/>
    </row>
    <row r="5" spans="1:13" ht="13.5" customHeight="1" hidden="1">
      <c r="A5" s="8"/>
      <c r="B5" s="8"/>
      <c r="C5" s="13"/>
      <c r="D5" s="20"/>
      <c r="E5" s="9" t="s">
        <v>74</v>
      </c>
      <c r="F5" s="9" t="s">
        <v>75</v>
      </c>
      <c r="G5" s="20"/>
      <c r="H5" s="9" t="s">
        <v>76</v>
      </c>
      <c r="I5" s="9" t="s">
        <v>77</v>
      </c>
      <c r="J5" s="31" t="s">
        <v>78</v>
      </c>
      <c r="K5" s="13" t="s">
        <v>66</v>
      </c>
      <c r="L5" s="12" t="s">
        <v>66</v>
      </c>
      <c r="M5" s="13" t="s">
        <v>75</v>
      </c>
    </row>
    <row r="6" spans="1:13" ht="13.5" customHeight="1">
      <c r="A6" s="8"/>
      <c r="B6" s="8"/>
      <c r="C6" s="13" t="s">
        <v>38</v>
      </c>
      <c r="D6" s="5" t="s">
        <v>61</v>
      </c>
      <c r="E6" s="31" t="s">
        <v>39</v>
      </c>
      <c r="F6" s="31" t="s">
        <v>42</v>
      </c>
      <c r="G6" s="9" t="s">
        <v>45</v>
      </c>
      <c r="H6" s="31" t="s">
        <v>48</v>
      </c>
      <c r="I6" s="9" t="s">
        <v>51</v>
      </c>
      <c r="J6" s="31" t="s">
        <v>53</v>
      </c>
      <c r="K6" s="12" t="s">
        <v>54</v>
      </c>
      <c r="L6" s="13" t="s">
        <v>57</v>
      </c>
      <c r="M6" s="13" t="s">
        <v>59</v>
      </c>
    </row>
    <row r="7" spans="1:13" ht="12" customHeight="1">
      <c r="A7" s="10"/>
      <c r="B7" s="10"/>
      <c r="C7" s="13" t="s">
        <v>72</v>
      </c>
      <c r="D7" s="5" t="s">
        <v>63</v>
      </c>
      <c r="E7" s="32" t="s">
        <v>40</v>
      </c>
      <c r="F7" s="13" t="s">
        <v>43</v>
      </c>
      <c r="G7" s="12" t="s">
        <v>46</v>
      </c>
      <c r="H7" s="13" t="s">
        <v>50</v>
      </c>
      <c r="I7" s="12" t="s">
        <v>52</v>
      </c>
      <c r="J7" s="13" t="s">
        <v>47</v>
      </c>
      <c r="K7" s="12" t="s">
        <v>55</v>
      </c>
      <c r="L7" s="13" t="s">
        <v>58</v>
      </c>
      <c r="M7" s="13" t="s">
        <v>60</v>
      </c>
    </row>
    <row r="8" spans="1:13" ht="12" customHeight="1">
      <c r="A8" s="8"/>
      <c r="B8" s="8"/>
      <c r="C8" s="27"/>
      <c r="D8" s="5" t="s">
        <v>62</v>
      </c>
      <c r="E8" s="31" t="s">
        <v>41</v>
      </c>
      <c r="F8" s="13" t="s">
        <v>44</v>
      </c>
      <c r="G8" s="13" t="s">
        <v>47</v>
      </c>
      <c r="H8" s="13" t="s">
        <v>49</v>
      </c>
      <c r="I8" s="12" t="s">
        <v>44</v>
      </c>
      <c r="J8" s="13"/>
      <c r="K8" s="12" t="s">
        <v>56</v>
      </c>
      <c r="L8" s="13" t="s">
        <v>47</v>
      </c>
      <c r="M8" s="13" t="s">
        <v>65</v>
      </c>
    </row>
    <row r="9" spans="1:14" ht="14.25" customHeight="1">
      <c r="A9" t="s">
        <v>0</v>
      </c>
      <c r="C9" s="14">
        <f>SUM(C13:C24)</f>
        <v>650483520.647972</v>
      </c>
      <c r="D9" s="2">
        <f>SUM(D13:D24)</f>
        <v>0</v>
      </c>
      <c r="E9" s="15">
        <f>SUM(E13:E24)</f>
        <v>68802018.122189</v>
      </c>
      <c r="F9" s="2">
        <f aca="true" t="shared" si="0" ref="F9:M9">SUM(F13:F24)</f>
        <v>90304049</v>
      </c>
      <c r="G9" s="15">
        <f t="shared" si="0"/>
        <v>50441694.287183</v>
      </c>
      <c r="H9" s="2">
        <f t="shared" si="0"/>
        <v>182173337.724</v>
      </c>
      <c r="I9" s="15">
        <f t="shared" si="0"/>
        <v>48344748.235</v>
      </c>
      <c r="J9" s="2">
        <f t="shared" si="0"/>
        <v>134908848.4816</v>
      </c>
      <c r="K9" s="15">
        <f t="shared" si="0"/>
        <v>1330323.18</v>
      </c>
      <c r="L9" s="2">
        <f t="shared" si="0"/>
        <v>6417724</v>
      </c>
      <c r="M9" s="15">
        <f t="shared" si="0"/>
        <v>67760777.618</v>
      </c>
      <c r="N9" s="2"/>
    </row>
    <row r="10" spans="1:13" ht="12.75">
      <c r="A10" t="s">
        <v>1</v>
      </c>
      <c r="C10" s="14">
        <f>SUM(C26:C33)</f>
        <v>80814354</v>
      </c>
      <c r="D10" s="2">
        <f>SUM(D26:D33)</f>
        <v>0</v>
      </c>
      <c r="E10" s="15">
        <f>SUM(E26:E33)</f>
        <v>1914718</v>
      </c>
      <c r="F10" s="2">
        <f aca="true" t="shared" si="1" ref="F10:M10">SUM(F26:F33)</f>
        <v>19655725</v>
      </c>
      <c r="G10" s="15">
        <f t="shared" si="1"/>
        <v>7888010</v>
      </c>
      <c r="H10" s="2">
        <f t="shared" si="1"/>
        <v>4017700</v>
      </c>
      <c r="I10" s="15">
        <f t="shared" si="1"/>
        <v>3150000</v>
      </c>
      <c r="J10" s="2">
        <f t="shared" si="1"/>
        <v>29444667</v>
      </c>
      <c r="K10" s="15">
        <f t="shared" si="1"/>
        <v>239100</v>
      </c>
      <c r="L10" s="2">
        <f t="shared" si="1"/>
        <v>6083400</v>
      </c>
      <c r="M10" s="15">
        <f t="shared" si="1"/>
        <v>8421034</v>
      </c>
    </row>
    <row r="11" spans="1:13" ht="12.75">
      <c r="A11" s="16" t="s">
        <v>2</v>
      </c>
      <c r="B11" s="16"/>
      <c r="C11" s="17">
        <f>+C9-C10</f>
        <v>569669166.647972</v>
      </c>
      <c r="D11" s="18">
        <f>+D9-D10</f>
        <v>0</v>
      </c>
      <c r="E11" s="19">
        <f>+E9-E10</f>
        <v>66887300.122189</v>
      </c>
      <c r="F11" s="18">
        <f aca="true" t="shared" si="2" ref="F11:M11">+F9-F10</f>
        <v>70648324</v>
      </c>
      <c r="G11" s="19">
        <f t="shared" si="2"/>
        <v>42553684.287183</v>
      </c>
      <c r="H11" s="18">
        <f t="shared" si="2"/>
        <v>178155637.724</v>
      </c>
      <c r="I11" s="19">
        <f t="shared" si="2"/>
        <v>45194748.235</v>
      </c>
      <c r="J11" s="18">
        <f t="shared" si="2"/>
        <v>105464181.48159999</v>
      </c>
      <c r="K11" s="19">
        <f t="shared" si="2"/>
        <v>1091223.18</v>
      </c>
      <c r="L11" s="18">
        <f t="shared" si="2"/>
        <v>334324</v>
      </c>
      <c r="M11" s="19">
        <f t="shared" si="2"/>
        <v>59339743.618</v>
      </c>
    </row>
    <row r="12" spans="1:13" ht="15.75" customHeight="1">
      <c r="A12" s="10" t="s">
        <v>3</v>
      </c>
      <c r="B12" s="10"/>
      <c r="C12" s="14"/>
      <c r="E12" s="15"/>
      <c r="F12" s="2"/>
      <c r="G12" s="40"/>
      <c r="H12" s="2"/>
      <c r="I12" s="15"/>
      <c r="J12" s="2"/>
      <c r="K12" s="15"/>
      <c r="L12" s="2"/>
      <c r="M12" s="15"/>
    </row>
    <row r="13" spans="1:13" ht="12.75">
      <c r="A13" s="11" t="s">
        <v>4</v>
      </c>
      <c r="B13" s="11"/>
      <c r="C13" s="14">
        <f aca="true" t="shared" si="3" ref="C13:C24">SUM(D13:M13)</f>
        <v>193543186.44</v>
      </c>
      <c r="E13" s="15">
        <f>8930139.03-108120-411083</f>
        <v>8410936.03</v>
      </c>
      <c r="F13" s="2">
        <f>19424577-235179-291300</f>
        <v>18898098</v>
      </c>
      <c r="G13" s="45">
        <f>23276975.41-298969</f>
        <v>22978006.41</v>
      </c>
      <c r="H13" s="2">
        <f>22613480-273788</f>
        <v>22339692</v>
      </c>
      <c r="I13" s="45">
        <f>13954375-168949-24665</f>
        <v>13760761</v>
      </c>
      <c r="J13" s="2">
        <f>70042149-848020-483000-500000</f>
        <v>68211129</v>
      </c>
      <c r="K13" s="15">
        <f>838600-10153</f>
        <v>828447</v>
      </c>
      <c r="L13" s="2">
        <f>2998259</f>
        <v>2998259</v>
      </c>
      <c r="M13" s="15">
        <f>36432860-441103-873899</f>
        <v>35117858</v>
      </c>
    </row>
    <row r="14" spans="1:13" ht="12.75">
      <c r="A14" s="11" t="s">
        <v>5</v>
      </c>
      <c r="B14" s="11"/>
      <c r="C14" s="14">
        <f t="shared" si="3"/>
        <v>61517583.091972</v>
      </c>
      <c r="D14" s="15">
        <f>+D13*$C$35/100</f>
        <v>0</v>
      </c>
      <c r="E14" s="15">
        <f>20252109.072189-23385-88917</f>
        <v>20139807.072189</v>
      </c>
      <c r="F14" s="26">
        <f>4406471-50869-80398</f>
        <v>4275204</v>
      </c>
      <c r="G14" s="45">
        <f>5034809.781183-64667</f>
        <v>4970142.781183</v>
      </c>
      <c r="H14" s="41">
        <f>4891295.724-59220</f>
        <v>4832075.724</v>
      </c>
      <c r="I14" s="45">
        <f>3178331.235-36544-5335</f>
        <v>3136452.235</v>
      </c>
      <c r="J14" s="15">
        <f>15700116.4816-183427</f>
        <v>15516689.4816</v>
      </c>
      <c r="K14" s="15">
        <f>181389.18-2196</f>
        <v>179193.18</v>
      </c>
      <c r="L14" s="15">
        <f>924197</f>
        <v>924197</v>
      </c>
      <c r="M14" s="15">
        <f>7880427.618-95411-241195</f>
        <v>7543821.618</v>
      </c>
    </row>
    <row r="15" spans="1:13" ht="12.75">
      <c r="A15" s="11" t="s">
        <v>6</v>
      </c>
      <c r="B15" s="11"/>
      <c r="C15" s="14">
        <f t="shared" si="3"/>
        <v>0</v>
      </c>
      <c r="E15" s="15">
        <v>0</v>
      </c>
      <c r="F15" s="2">
        <v>0</v>
      </c>
      <c r="G15" s="45"/>
      <c r="H15" s="2">
        <v>0</v>
      </c>
      <c r="I15" s="45">
        <v>0</v>
      </c>
      <c r="J15" s="2">
        <v>0</v>
      </c>
      <c r="K15" s="15">
        <v>0</v>
      </c>
      <c r="L15" s="2">
        <v>0</v>
      </c>
      <c r="M15" s="15">
        <v>0</v>
      </c>
    </row>
    <row r="16" spans="1:13" ht="12.75">
      <c r="A16" s="11" t="s">
        <v>7</v>
      </c>
      <c r="B16" s="11"/>
      <c r="C16" s="14">
        <f t="shared" si="3"/>
        <v>16180283.146</v>
      </c>
      <c r="E16" s="15">
        <v>2655482.5</v>
      </c>
      <c r="F16" s="2">
        <v>1038236</v>
      </c>
      <c r="G16" s="45">
        <v>3622898.6459999997</v>
      </c>
      <c r="H16" s="2">
        <v>2180000</v>
      </c>
      <c r="I16" s="45">
        <v>1067372</v>
      </c>
      <c r="J16" s="2">
        <v>4670851</v>
      </c>
      <c r="K16" s="15">
        <v>45760</v>
      </c>
      <c r="L16" s="2">
        <v>138650</v>
      </c>
      <c r="M16" s="14">
        <v>761033</v>
      </c>
    </row>
    <row r="17" spans="1:13" ht="12.75">
      <c r="A17" s="11" t="s">
        <v>8</v>
      </c>
      <c r="B17" s="11"/>
      <c r="C17" s="14">
        <f t="shared" si="3"/>
        <v>82928127.87</v>
      </c>
      <c r="E17" s="15">
        <f>5891259.52+(12*203*(139+196+12))</f>
        <v>6736551.52</v>
      </c>
      <c r="F17" s="2">
        <f>3230593+(12*203*308)</f>
        <v>3980881</v>
      </c>
      <c r="G17" s="45">
        <f>12714391.35-320000+(12*203*600)</f>
        <v>13855991.35</v>
      </c>
      <c r="H17" s="2">
        <f>24952746+(12*203*459)</f>
        <v>26070870</v>
      </c>
      <c r="I17" s="45">
        <f>7516358+(12*203*(131+139))</f>
        <v>8174078</v>
      </c>
      <c r="J17" s="2">
        <f>14145146-420000+(12*203*(130+604))</f>
        <v>15513170</v>
      </c>
      <c r="K17" s="15">
        <f>185675+(12*203*23)</f>
        <v>241703</v>
      </c>
      <c r="L17" s="2">
        <f>1479750+(12*203*88)</f>
        <v>1694118</v>
      </c>
      <c r="M17" s="15">
        <f>5912913+(12*203*307)</f>
        <v>6660765</v>
      </c>
    </row>
    <row r="18" spans="1:13" ht="12.75">
      <c r="A18" s="11" t="s">
        <v>9</v>
      </c>
      <c r="B18" s="11"/>
      <c r="C18" s="14">
        <f t="shared" si="3"/>
        <v>207479723.1</v>
      </c>
      <c r="E18" s="15">
        <v>0</v>
      </c>
      <c r="F18" s="2">
        <f>26646174-100000</f>
        <v>26546174</v>
      </c>
      <c r="G18" s="45">
        <v>3807513.1</v>
      </c>
      <c r="H18" s="2">
        <f>126885500-300000-500000</f>
        <v>126085500</v>
      </c>
      <c r="I18" s="45">
        <v>19500000</v>
      </c>
      <c r="J18" s="2">
        <v>26290536</v>
      </c>
      <c r="K18" s="15">
        <v>0</v>
      </c>
      <c r="L18" s="2">
        <v>0</v>
      </c>
      <c r="M18" s="15">
        <v>5250000</v>
      </c>
    </row>
    <row r="19" spans="1:13" ht="12.75">
      <c r="A19" s="11" t="s">
        <v>10</v>
      </c>
      <c r="B19" s="11"/>
      <c r="C19" s="14">
        <f t="shared" si="3"/>
        <v>2959968</v>
      </c>
      <c r="E19" s="15">
        <v>281430</v>
      </c>
      <c r="F19" s="2">
        <v>103341</v>
      </c>
      <c r="G19" s="45">
        <v>501146</v>
      </c>
      <c r="H19" s="2">
        <v>477700</v>
      </c>
      <c r="I19" s="45">
        <v>266137</v>
      </c>
      <c r="J19" s="2">
        <v>608564</v>
      </c>
      <c r="K19" s="15">
        <v>33350</v>
      </c>
      <c r="L19" s="2">
        <v>646000</v>
      </c>
      <c r="M19" s="15">
        <v>42300</v>
      </c>
    </row>
    <row r="20" spans="1:13" ht="12.75">
      <c r="A20" s="11" t="s">
        <v>11</v>
      </c>
      <c r="B20" s="11"/>
      <c r="C20" s="14">
        <f t="shared" si="3"/>
        <v>55080037</v>
      </c>
      <c r="E20" s="15">
        <v>120000</v>
      </c>
      <c r="F20" s="2">
        <f>32922285+2500000</f>
        <v>35422285</v>
      </c>
      <c r="G20" s="45">
        <v>667200</v>
      </c>
      <c r="H20" s="2">
        <v>150000</v>
      </c>
      <c r="I20" s="45">
        <v>2388530</v>
      </c>
      <c r="J20" s="2">
        <f>4952022-900000</f>
        <v>4052022</v>
      </c>
      <c r="K20" s="15">
        <v>0</v>
      </c>
      <c r="L20" s="2">
        <v>0</v>
      </c>
      <c r="M20" s="15">
        <f>12680000-400000</f>
        <v>12280000</v>
      </c>
    </row>
    <row r="21" spans="1:13" ht="12.75">
      <c r="A21" s="11" t="s">
        <v>12</v>
      </c>
      <c r="B21" s="11"/>
      <c r="C21" s="14">
        <f t="shared" si="3"/>
        <v>4000</v>
      </c>
      <c r="E21" s="15">
        <v>0</v>
      </c>
      <c r="F21" s="2">
        <v>0</v>
      </c>
      <c r="G21" s="45"/>
      <c r="H21" s="2">
        <v>4000</v>
      </c>
      <c r="I21" s="45">
        <v>0</v>
      </c>
      <c r="J21" s="2">
        <v>0</v>
      </c>
      <c r="K21" s="15">
        <v>0</v>
      </c>
      <c r="L21" s="2">
        <v>0</v>
      </c>
      <c r="M21" s="15">
        <v>0</v>
      </c>
    </row>
    <row r="22" spans="1:13" ht="12.75">
      <c r="A22" s="11" t="s">
        <v>13</v>
      </c>
      <c r="B22" s="11"/>
      <c r="C22" s="14">
        <f t="shared" si="3"/>
        <v>620020</v>
      </c>
      <c r="E22" s="15">
        <v>310811</v>
      </c>
      <c r="F22" s="2">
        <v>39830</v>
      </c>
      <c r="G22" s="45">
        <v>32796</v>
      </c>
      <c r="H22" s="2">
        <v>31500</v>
      </c>
      <c r="I22" s="45">
        <v>42276</v>
      </c>
      <c r="J22" s="2">
        <v>45887</v>
      </c>
      <c r="K22" s="15">
        <v>1420</v>
      </c>
      <c r="L22" s="2">
        <v>10500</v>
      </c>
      <c r="M22" s="15">
        <v>105000</v>
      </c>
    </row>
    <row r="23" spans="1:13" ht="12.75">
      <c r="A23" s="11" t="s">
        <v>14</v>
      </c>
      <c r="B23" s="11"/>
      <c r="C23" s="14">
        <f t="shared" si="3"/>
        <v>30130000</v>
      </c>
      <c r="E23" s="15">
        <f>30560000-200000-130000-100000</f>
        <v>30130000</v>
      </c>
      <c r="F23" s="35">
        <v>0</v>
      </c>
      <c r="G23" s="45"/>
      <c r="H23" s="2">
        <v>0</v>
      </c>
      <c r="I23" s="45">
        <v>0</v>
      </c>
      <c r="J23" s="2">
        <v>0</v>
      </c>
      <c r="K23" s="15">
        <v>0</v>
      </c>
      <c r="L23" s="2">
        <v>0</v>
      </c>
      <c r="M23" s="15">
        <v>0</v>
      </c>
    </row>
    <row r="24" spans="1:13" ht="12.75">
      <c r="A24" s="11" t="s">
        <v>15</v>
      </c>
      <c r="B24" s="11"/>
      <c r="C24" s="14">
        <f t="shared" si="3"/>
        <v>40592</v>
      </c>
      <c r="E24" s="15">
        <v>17000</v>
      </c>
      <c r="F24" s="2">
        <v>0</v>
      </c>
      <c r="G24" s="45">
        <v>6000</v>
      </c>
      <c r="H24" s="2">
        <v>2000</v>
      </c>
      <c r="I24" s="45">
        <v>9142</v>
      </c>
      <c r="J24" s="2">
        <v>0</v>
      </c>
      <c r="K24" s="15">
        <v>450</v>
      </c>
      <c r="L24" s="2">
        <v>6000</v>
      </c>
      <c r="M24" s="15">
        <v>0</v>
      </c>
    </row>
    <row r="25" spans="1:13" ht="21" customHeight="1">
      <c r="A25" t="s">
        <v>16</v>
      </c>
      <c r="C25" s="14"/>
      <c r="E25" s="15"/>
      <c r="F25" s="2"/>
      <c r="G25" s="45"/>
      <c r="H25" s="2"/>
      <c r="I25" s="45">
        <v>0</v>
      </c>
      <c r="J25" s="2"/>
      <c r="K25" s="15"/>
      <c r="L25" s="2"/>
      <c r="M25" s="15"/>
    </row>
    <row r="26" spans="1:13" ht="12.75">
      <c r="A26" s="11" t="s">
        <v>17</v>
      </c>
      <c r="B26" s="11"/>
      <c r="C26" s="14">
        <f aca="true" t="shared" si="4" ref="C26:C33">SUM(D26:M26)</f>
        <v>21024647</v>
      </c>
      <c r="E26" s="15">
        <v>401500</v>
      </c>
      <c r="F26" s="2">
        <v>4274004</v>
      </c>
      <c r="G26" s="45">
        <v>3129260</v>
      </c>
      <c r="H26" s="2">
        <v>847000</v>
      </c>
      <c r="I26" s="45">
        <v>2517969</v>
      </c>
      <c r="J26" s="2">
        <v>3651432</v>
      </c>
      <c r="K26" s="15">
        <v>63100</v>
      </c>
      <c r="L26" s="2">
        <v>5840000</v>
      </c>
      <c r="M26" s="15">
        <v>300382</v>
      </c>
    </row>
    <row r="27" spans="1:13" ht="12.75">
      <c r="A27" s="11" t="s">
        <v>18</v>
      </c>
      <c r="B27" s="11"/>
      <c r="C27" s="14">
        <f t="shared" si="4"/>
        <v>42106913</v>
      </c>
      <c r="E27" s="15">
        <v>140000</v>
      </c>
      <c r="F27" s="2">
        <v>1231981</v>
      </c>
      <c r="G27" s="45">
        <v>4111650</v>
      </c>
      <c r="H27" s="2">
        <v>2846000</v>
      </c>
      <c r="I27" s="45">
        <v>310217</v>
      </c>
      <c r="J27" s="2">
        <v>25480785</v>
      </c>
      <c r="K27" s="15">
        <v>176000</v>
      </c>
      <c r="L27" s="2">
        <v>70400</v>
      </c>
      <c r="M27" s="15">
        <v>7739880</v>
      </c>
    </row>
    <row r="28" spans="1:13" ht="12.75">
      <c r="A28" s="11" t="s">
        <v>19</v>
      </c>
      <c r="B28" s="11"/>
      <c r="C28" s="14">
        <f t="shared" si="4"/>
        <v>1479524</v>
      </c>
      <c r="E28" s="15">
        <v>1000000</v>
      </c>
      <c r="F28" s="2">
        <v>0</v>
      </c>
      <c r="G28" s="45"/>
      <c r="H28" s="2">
        <v>3500</v>
      </c>
      <c r="I28" s="45">
        <v>172574</v>
      </c>
      <c r="J28" s="2">
        <v>303450</v>
      </c>
      <c r="K28" s="15">
        <v>0</v>
      </c>
      <c r="L28" s="2">
        <v>0</v>
      </c>
      <c r="M28" s="15">
        <v>0</v>
      </c>
    </row>
    <row r="29" spans="1:13" ht="12.75">
      <c r="A29" s="11" t="s">
        <v>20</v>
      </c>
      <c r="B29" s="11"/>
      <c r="C29" s="14">
        <f t="shared" si="4"/>
        <v>13248620</v>
      </c>
      <c r="E29" s="15">
        <v>0</v>
      </c>
      <c r="F29" s="2">
        <f>10742980+1250000</f>
        <v>11992980</v>
      </c>
      <c r="G29" s="45">
        <v>645600</v>
      </c>
      <c r="H29" s="2">
        <v>301200</v>
      </c>
      <c r="I29" s="45">
        <v>135840</v>
      </c>
      <c r="J29" s="2">
        <v>0</v>
      </c>
      <c r="K29" s="15">
        <v>0</v>
      </c>
      <c r="L29" s="2">
        <v>173000</v>
      </c>
      <c r="M29" s="15">
        <v>0</v>
      </c>
    </row>
    <row r="30" spans="1:13" ht="12.75">
      <c r="A30" s="11" t="s">
        <v>21</v>
      </c>
      <c r="B30" s="11"/>
      <c r="C30" s="14">
        <f t="shared" si="4"/>
        <v>0</v>
      </c>
      <c r="E30" s="15">
        <v>0</v>
      </c>
      <c r="F30" s="2">
        <v>0</v>
      </c>
      <c r="G30" s="45"/>
      <c r="H30" s="2">
        <v>0</v>
      </c>
      <c r="I30" s="45">
        <v>0</v>
      </c>
      <c r="J30" s="2">
        <v>0</v>
      </c>
      <c r="K30" s="15">
        <v>0</v>
      </c>
      <c r="L30" s="2">
        <v>0</v>
      </c>
      <c r="M30" s="15">
        <v>0</v>
      </c>
    </row>
    <row r="31" spans="1:13" ht="12.75">
      <c r="A31" s="11" t="s">
        <v>22</v>
      </c>
      <c r="B31" s="11"/>
      <c r="C31" s="14">
        <f t="shared" si="4"/>
        <v>2954650</v>
      </c>
      <c r="E31" s="15">
        <v>373218</v>
      </c>
      <c r="F31" s="2">
        <v>2156760</v>
      </c>
      <c r="G31" s="45">
        <v>1500</v>
      </c>
      <c r="H31" s="2">
        <v>20000</v>
      </c>
      <c r="I31" s="45">
        <v>13400</v>
      </c>
      <c r="J31" s="2">
        <v>9000</v>
      </c>
      <c r="K31" s="15">
        <v>0</v>
      </c>
      <c r="L31" s="2">
        <v>0</v>
      </c>
      <c r="M31" s="15">
        <v>380772</v>
      </c>
    </row>
    <row r="32" spans="1:13" ht="12.75">
      <c r="A32" s="11" t="s">
        <v>23</v>
      </c>
      <c r="B32" s="11"/>
      <c r="C32" s="14">
        <f t="shared" si="4"/>
        <v>0</v>
      </c>
      <c r="E32" s="15">
        <v>0</v>
      </c>
      <c r="F32" s="2">
        <v>0</v>
      </c>
      <c r="G32" s="45"/>
      <c r="H32" s="2">
        <v>0</v>
      </c>
      <c r="I32" s="45">
        <v>0</v>
      </c>
      <c r="J32" s="2">
        <v>0</v>
      </c>
      <c r="K32" s="15">
        <v>0</v>
      </c>
      <c r="L32" s="2">
        <v>0</v>
      </c>
      <c r="M32" s="15">
        <v>0</v>
      </c>
    </row>
    <row r="33" spans="1:13" ht="12.75">
      <c r="A33" s="16" t="s">
        <v>24</v>
      </c>
      <c r="B33" s="16"/>
      <c r="C33" s="17">
        <f t="shared" si="4"/>
        <v>0</v>
      </c>
      <c r="D33" s="18"/>
      <c r="E33" s="19">
        <v>0</v>
      </c>
      <c r="F33" s="18">
        <v>0</v>
      </c>
      <c r="G33" s="46"/>
      <c r="H33" s="18">
        <v>0</v>
      </c>
      <c r="I33" s="46">
        <v>0</v>
      </c>
      <c r="J33" s="18">
        <v>0</v>
      </c>
      <c r="K33" s="19">
        <v>0</v>
      </c>
      <c r="L33" s="18">
        <v>0</v>
      </c>
      <c r="M33" s="19">
        <v>0</v>
      </c>
    </row>
    <row r="34" spans="3:13" ht="12" customHeight="1">
      <c r="C34" s="15"/>
      <c r="E34" s="15"/>
      <c r="F34" s="2"/>
      <c r="G34" s="45"/>
      <c r="H34" s="2"/>
      <c r="I34" s="45"/>
      <c r="J34" s="2"/>
      <c r="K34" s="26"/>
      <c r="L34" s="26"/>
      <c r="M34" s="40"/>
    </row>
    <row r="35" spans="1:13" ht="12.75">
      <c r="A35" t="s">
        <v>25</v>
      </c>
      <c r="C35" s="21">
        <v>21.63</v>
      </c>
      <c r="E35" t="s">
        <v>71</v>
      </c>
      <c r="F35" s="2"/>
      <c r="G35" s="45"/>
      <c r="H35" s="2"/>
      <c r="I35" s="45"/>
      <c r="J35" s="2"/>
      <c r="K35" s="26"/>
      <c r="L35" s="26"/>
      <c r="M35" s="15"/>
    </row>
    <row r="36" spans="3:13" ht="12.75">
      <c r="C36" s="15"/>
      <c r="E36" t="s">
        <v>70</v>
      </c>
      <c r="F36" t="s">
        <v>71</v>
      </c>
      <c r="G36" s="45"/>
      <c r="H36" s="2"/>
      <c r="I36" s="45"/>
      <c r="J36" t="s">
        <v>71</v>
      </c>
      <c r="K36" s="26"/>
      <c r="L36" s="26"/>
      <c r="M36" s="15"/>
    </row>
    <row r="37" spans="3:13" ht="12.75" hidden="1">
      <c r="C37" s="15"/>
      <c r="F37" t="s">
        <v>70</v>
      </c>
      <c r="G37" s="45"/>
      <c r="H37" s="2"/>
      <c r="I37" s="45"/>
      <c r="J37" t="s">
        <v>70</v>
      </c>
      <c r="K37" s="26"/>
      <c r="L37" s="26"/>
      <c r="M37" s="15"/>
    </row>
    <row r="38" spans="1:13" ht="12.75" customHeight="1">
      <c r="A38" s="10" t="s">
        <v>36</v>
      </c>
      <c r="B38" s="10"/>
      <c r="C38" s="15"/>
      <c r="E38" s="15"/>
      <c r="G38" s="45"/>
      <c r="H38" s="2"/>
      <c r="I38" s="45"/>
      <c r="K38" s="26"/>
      <c r="L38" s="26"/>
      <c r="M38" s="15"/>
    </row>
    <row r="39" spans="1:13" ht="12.75" customHeight="1">
      <c r="A39" s="10"/>
      <c r="B39" s="10"/>
      <c r="C39" s="13" t="s">
        <v>38</v>
      </c>
      <c r="D39" s="5" t="s">
        <v>61</v>
      </c>
      <c r="E39" s="31" t="s">
        <v>39</v>
      </c>
      <c r="F39" s="31" t="s">
        <v>42</v>
      </c>
      <c r="G39" s="9" t="s">
        <v>45</v>
      </c>
      <c r="H39" s="31" t="s">
        <v>48</v>
      </c>
      <c r="I39" s="9" t="s">
        <v>51</v>
      </c>
      <c r="J39" s="31" t="s">
        <v>53</v>
      </c>
      <c r="K39" s="12" t="s">
        <v>54</v>
      </c>
      <c r="L39" s="13" t="s">
        <v>57</v>
      </c>
      <c r="M39" s="13" t="s">
        <v>59</v>
      </c>
    </row>
    <row r="40" spans="1:13" ht="12.75" customHeight="1">
      <c r="A40" s="10"/>
      <c r="B40" s="10"/>
      <c r="C40" s="13" t="s">
        <v>72</v>
      </c>
      <c r="D40" s="5" t="s">
        <v>63</v>
      </c>
      <c r="E40" s="32" t="s">
        <v>40</v>
      </c>
      <c r="F40" s="13" t="s">
        <v>43</v>
      </c>
      <c r="G40" s="12" t="s">
        <v>46</v>
      </c>
      <c r="H40" s="13" t="s">
        <v>50</v>
      </c>
      <c r="I40" s="12" t="s">
        <v>52</v>
      </c>
      <c r="J40" s="13" t="s">
        <v>47</v>
      </c>
      <c r="K40" s="12" t="s">
        <v>55</v>
      </c>
      <c r="L40" s="13" t="s">
        <v>58</v>
      </c>
      <c r="M40" s="13" t="s">
        <v>60</v>
      </c>
    </row>
    <row r="41" spans="1:13" ht="12.75" customHeight="1">
      <c r="A41" s="28"/>
      <c r="B41" s="51"/>
      <c r="C41" s="47"/>
      <c r="D41" s="48" t="s">
        <v>62</v>
      </c>
      <c r="E41" s="49" t="s">
        <v>41</v>
      </c>
      <c r="F41" s="50" t="s">
        <v>44</v>
      </c>
      <c r="G41" s="50" t="s">
        <v>47</v>
      </c>
      <c r="H41" s="50" t="s">
        <v>49</v>
      </c>
      <c r="I41" s="29" t="s">
        <v>44</v>
      </c>
      <c r="J41" s="50"/>
      <c r="K41" s="29" t="s">
        <v>56</v>
      </c>
      <c r="L41" s="50" t="s">
        <v>47</v>
      </c>
      <c r="M41" s="50" t="s">
        <v>65</v>
      </c>
    </row>
    <row r="42" spans="1:13" ht="12.75">
      <c r="A42" s="11"/>
      <c r="B42" s="11"/>
      <c r="C42" s="25"/>
      <c r="E42" s="15"/>
      <c r="F42" s="2"/>
      <c r="G42" s="45"/>
      <c r="H42" s="2"/>
      <c r="I42" s="45"/>
      <c r="J42" s="2"/>
      <c r="K42" s="26"/>
      <c r="L42" s="26"/>
      <c r="M42" s="15"/>
    </row>
    <row r="43" spans="1:13" ht="12.75">
      <c r="A43" s="10" t="s">
        <v>27</v>
      </c>
      <c r="B43" s="12" t="s">
        <v>33</v>
      </c>
      <c r="C43" s="14">
        <f>SUM(D43:M43)</f>
        <v>149575499.3739398</v>
      </c>
      <c r="D43" s="22"/>
      <c r="E43" s="33">
        <f>23.24/100*E9</f>
        <v>15989589.011596723</v>
      </c>
      <c r="F43" s="38">
        <v>33519972</v>
      </c>
      <c r="G43" s="45">
        <v>12252915.573657196</v>
      </c>
      <c r="H43" s="38">
        <v>13456295.221983692</v>
      </c>
      <c r="I43" s="45">
        <v>7343801.566702206</v>
      </c>
      <c r="J43" s="22"/>
      <c r="K43" s="26">
        <v>0</v>
      </c>
      <c r="L43" s="26">
        <v>0</v>
      </c>
      <c r="M43" s="15">
        <v>67012926</v>
      </c>
    </row>
    <row r="44" spans="1:13" ht="12.75">
      <c r="A44" s="10" t="s">
        <v>28</v>
      </c>
      <c r="B44" s="12" t="s">
        <v>34</v>
      </c>
      <c r="C44" s="14">
        <f>SUM(D44:M44)</f>
        <v>16458713.935794879</v>
      </c>
      <c r="D44" s="22"/>
      <c r="E44" s="33">
        <f>20.37/100*E10</f>
        <v>390028.0566</v>
      </c>
      <c r="F44" s="38">
        <v>7357138</v>
      </c>
      <c r="G44" s="45">
        <v>0</v>
      </c>
      <c r="H44" s="38">
        <v>126714</v>
      </c>
      <c r="I44" s="45">
        <v>163799.87919487906</v>
      </c>
      <c r="J44" s="38"/>
      <c r="K44" s="26">
        <v>0</v>
      </c>
      <c r="L44" s="26">
        <v>0</v>
      </c>
      <c r="M44" s="15">
        <v>8421034</v>
      </c>
    </row>
    <row r="45" spans="1:13" ht="12.75">
      <c r="A45" s="28"/>
      <c r="B45" s="29" t="s">
        <v>35</v>
      </c>
      <c r="C45" s="17">
        <f>+C43-C44</f>
        <v>133116785.43814494</v>
      </c>
      <c r="D45" s="30"/>
      <c r="E45" s="44">
        <f>+E43-E44</f>
        <v>15599560.954996722</v>
      </c>
      <c r="F45" s="39">
        <f>+F43-F44</f>
        <v>26162834</v>
      </c>
      <c r="G45" s="46">
        <v>12412207.260385528</v>
      </c>
      <c r="H45" s="39">
        <v>13329581.221983692</v>
      </c>
      <c r="I45" s="46">
        <v>7184621.650825697</v>
      </c>
      <c r="J45" s="39"/>
      <c r="K45" s="36">
        <v>0</v>
      </c>
      <c r="L45" s="36">
        <v>0</v>
      </c>
      <c r="M45" s="19">
        <v>58591892</v>
      </c>
    </row>
    <row r="46" spans="1:13" ht="12.75">
      <c r="A46" s="10"/>
      <c r="B46" s="12"/>
      <c r="C46" s="14"/>
      <c r="D46" s="22"/>
      <c r="E46" s="33"/>
      <c r="F46" s="38"/>
      <c r="G46" s="45"/>
      <c r="H46" s="38"/>
      <c r="I46" s="45"/>
      <c r="J46" s="38"/>
      <c r="K46" s="26"/>
      <c r="L46" s="26"/>
      <c r="M46" s="15"/>
    </row>
    <row r="47" spans="1:13" ht="12.75">
      <c r="A47" s="10" t="s">
        <v>31</v>
      </c>
      <c r="B47" s="12" t="s">
        <v>33</v>
      </c>
      <c r="C47" s="14">
        <f>SUM(D47:M47)</f>
        <v>34714535.77946269</v>
      </c>
      <c r="D47" s="22"/>
      <c r="E47" s="33">
        <f>5.39/100*E9</f>
        <v>3708428.776785987</v>
      </c>
      <c r="F47" s="38">
        <v>8776269</v>
      </c>
      <c r="G47" s="45">
        <v>5111309.322169747</v>
      </c>
      <c r="H47" s="38">
        <v>9924396.73218821</v>
      </c>
      <c r="I47" s="45">
        <v>6533121.948318744</v>
      </c>
      <c r="J47" s="38"/>
      <c r="K47" s="26">
        <v>0</v>
      </c>
      <c r="L47" s="26">
        <v>661010</v>
      </c>
      <c r="M47" s="15">
        <v>0</v>
      </c>
    </row>
    <row r="48" spans="1:13" ht="12.75">
      <c r="A48" s="10" t="s">
        <v>32</v>
      </c>
      <c r="B48" s="12" t="s">
        <v>34</v>
      </c>
      <c r="C48" s="14">
        <f>SUM(D48:M48)</f>
        <v>3573043.5389577523</v>
      </c>
      <c r="D48" s="22"/>
      <c r="E48" s="33">
        <f>4.42/100*E10</f>
        <v>84630.53559999999</v>
      </c>
      <c r="F48" s="38">
        <v>1926261</v>
      </c>
      <c r="G48" s="45">
        <v>553110</v>
      </c>
      <c r="H48" s="38">
        <v>217943</v>
      </c>
      <c r="I48" s="45">
        <v>170099.0033577523</v>
      </c>
      <c r="J48" s="38"/>
      <c r="K48" s="26">
        <v>0</v>
      </c>
      <c r="L48" s="26">
        <v>621000</v>
      </c>
      <c r="M48" s="15">
        <v>0</v>
      </c>
    </row>
    <row r="49" spans="1:13" ht="12.75">
      <c r="A49" s="28"/>
      <c r="B49" s="29" t="s">
        <v>35</v>
      </c>
      <c r="C49" s="17">
        <f>+C47-C48</f>
        <v>31141492.240504935</v>
      </c>
      <c r="D49" s="30"/>
      <c r="E49" s="44">
        <f>+E47-E48</f>
        <v>3623798.241185987</v>
      </c>
      <c r="F49" s="39">
        <f>+F47-F48</f>
        <v>6850008</v>
      </c>
      <c r="G49" s="46">
        <v>4753298.417711952</v>
      </c>
      <c r="H49" s="39">
        <v>9706453.73218821</v>
      </c>
      <c r="I49" s="46">
        <v>6367132.912187301</v>
      </c>
      <c r="J49" s="39"/>
      <c r="K49" s="36">
        <v>0</v>
      </c>
      <c r="L49" s="36">
        <v>40010</v>
      </c>
      <c r="M49" s="19">
        <v>0</v>
      </c>
    </row>
    <row r="50" spans="1:13" ht="12.75">
      <c r="A50" s="10"/>
      <c r="B50" s="12"/>
      <c r="C50" s="14"/>
      <c r="D50" s="22"/>
      <c r="E50" s="33"/>
      <c r="F50" s="38"/>
      <c r="G50" s="45"/>
      <c r="H50" s="38"/>
      <c r="I50" s="45"/>
      <c r="J50" s="22"/>
      <c r="K50" s="26"/>
      <c r="L50" s="26"/>
      <c r="M50" s="15"/>
    </row>
    <row r="51" spans="1:13" ht="12.75">
      <c r="A51" s="10" t="s">
        <v>29</v>
      </c>
      <c r="B51" s="12" t="s">
        <v>33</v>
      </c>
      <c r="C51" s="14">
        <f>SUM(D51:M51)</f>
        <v>203976497.04590774</v>
      </c>
      <c r="D51" s="22"/>
      <c r="E51" s="33">
        <f>31.64/100*E9</f>
        <v>21768958.5338606</v>
      </c>
      <c r="F51" s="38">
        <v>44033584</v>
      </c>
      <c r="G51" s="45">
        <v>21910645.076870494</v>
      </c>
      <c r="H51" s="38">
        <f>84986249.6414891-300000-500000</f>
        <v>84186249.6414891</v>
      </c>
      <c r="I51" s="45">
        <v>21077666.007721122</v>
      </c>
      <c r="J51" s="38">
        <f>0.029*J9</f>
        <v>3912356.6059664</v>
      </c>
      <c r="K51" s="26">
        <f>+K9</f>
        <v>1330323.18</v>
      </c>
      <c r="L51" s="26">
        <f>+L9-L47</f>
        <v>5756714</v>
      </c>
      <c r="M51" s="15">
        <v>0</v>
      </c>
    </row>
    <row r="52" spans="1:13" ht="12.75">
      <c r="A52" s="10" t="s">
        <v>79</v>
      </c>
      <c r="B52" s="12" t="s">
        <v>34</v>
      </c>
      <c r="C52" s="14">
        <f>SUM(D52:M52)</f>
        <v>27168320.85501435</v>
      </c>
      <c r="D52" s="22"/>
      <c r="E52" s="33">
        <f>33.62/100*E10</f>
        <v>643728.1916</v>
      </c>
      <c r="F52" s="38">
        <v>9664720</v>
      </c>
      <c r="G52" s="45">
        <v>6781790</v>
      </c>
      <c r="H52" s="38">
        <v>1435735</v>
      </c>
      <c r="I52" s="45">
        <v>2381398.9904143466</v>
      </c>
      <c r="J52" s="38">
        <f>0.019*J10</f>
        <v>559448.673</v>
      </c>
      <c r="K52" s="26">
        <v>239100</v>
      </c>
      <c r="L52" s="26">
        <f>+L10-L48</f>
        <v>5462400</v>
      </c>
      <c r="M52" s="15">
        <v>0</v>
      </c>
    </row>
    <row r="53" spans="1:13" ht="12.75">
      <c r="A53" s="28"/>
      <c r="B53" s="29" t="s">
        <v>35</v>
      </c>
      <c r="C53" s="17">
        <f>+C51-C52</f>
        <v>176808176.19089338</v>
      </c>
      <c r="D53" s="30"/>
      <c r="E53" s="44">
        <f>+E51-E52</f>
        <v>21125230.342260603</v>
      </c>
      <c r="F53" s="39">
        <f>+F51-F52</f>
        <v>34368864</v>
      </c>
      <c r="G53" s="46">
        <v>15120068.84493332</v>
      </c>
      <c r="H53" s="39">
        <v>83550514.6414891</v>
      </c>
      <c r="I53" s="46">
        <v>18709526.913139753</v>
      </c>
      <c r="J53" s="39">
        <f>+J51-J52</f>
        <v>3352907.9329664</v>
      </c>
      <c r="K53" s="36">
        <f>+K51-K52</f>
        <v>1091223.18</v>
      </c>
      <c r="L53" s="36">
        <v>79946</v>
      </c>
      <c r="M53" s="19">
        <v>0</v>
      </c>
    </row>
    <row r="54" spans="1:13" ht="12.75">
      <c r="A54" s="10"/>
      <c r="B54" s="12"/>
      <c r="C54" s="14"/>
      <c r="D54" s="22"/>
      <c r="E54" s="33"/>
      <c r="F54" s="38"/>
      <c r="G54" s="45"/>
      <c r="H54" s="38"/>
      <c r="I54" s="45"/>
      <c r="J54" s="38"/>
      <c r="K54" s="26"/>
      <c r="L54" s="26"/>
      <c r="M54" s="15"/>
    </row>
    <row r="55" spans="1:13" ht="12.75">
      <c r="A55" s="10" t="s">
        <v>30</v>
      </c>
      <c r="B55" s="12" t="s">
        <v>33</v>
      </c>
      <c r="C55" s="14">
        <f>SUM(D55:M55)</f>
        <v>257481405.10666174</v>
      </c>
      <c r="D55" s="22"/>
      <c r="E55" s="33">
        <f>39.73/100*E9</f>
        <v>27335041.79994569</v>
      </c>
      <c r="F55" s="38">
        <v>3223936</v>
      </c>
      <c r="G55" s="45">
        <v>9705224.314485565</v>
      </c>
      <c r="H55" s="38">
        <v>73488272.404339</v>
      </c>
      <c r="I55" s="45">
        <v>12732438.712257924</v>
      </c>
      <c r="J55" s="38">
        <f>0.971*J9</f>
        <v>130996491.87563358</v>
      </c>
      <c r="K55" s="26">
        <v>0</v>
      </c>
      <c r="L55" s="26">
        <v>0</v>
      </c>
      <c r="M55" s="15">
        <v>0</v>
      </c>
    </row>
    <row r="56" spans="1:13" ht="12.75">
      <c r="A56" s="10" t="s">
        <v>73</v>
      </c>
      <c r="B56" s="12" t="s">
        <v>34</v>
      </c>
      <c r="C56" s="14">
        <f>SUM(D56:M56)</f>
        <v>33614275.66344166</v>
      </c>
      <c r="D56" s="22"/>
      <c r="E56" s="33">
        <f>41.59/100*E10</f>
        <v>796331.2162000001</v>
      </c>
      <c r="F56" s="38">
        <v>707605.9932086348</v>
      </c>
      <c r="G56" s="45">
        <v>553110</v>
      </c>
      <c r="H56" s="38">
        <v>2237308</v>
      </c>
      <c r="I56" s="45">
        <v>434702.1270330222</v>
      </c>
      <c r="J56" s="38">
        <f>0.981*J10</f>
        <v>28885218.327</v>
      </c>
      <c r="K56" s="26">
        <v>0</v>
      </c>
      <c r="L56" s="26">
        <v>0</v>
      </c>
      <c r="M56" s="15">
        <v>0</v>
      </c>
    </row>
    <row r="57" spans="1:13" ht="12.75">
      <c r="A57" s="28"/>
      <c r="B57" s="29" t="s">
        <v>35</v>
      </c>
      <c r="C57" s="17">
        <f>+C55-C56</f>
        <v>223867129.44322008</v>
      </c>
      <c r="D57" s="30"/>
      <c r="E57" s="44">
        <f>+E55-E56</f>
        <v>26538710.58374569</v>
      </c>
      <c r="F57" s="39">
        <f>+F55-F56</f>
        <v>2516330.0067913653</v>
      </c>
      <c r="G57" s="46">
        <v>9126509.476969196</v>
      </c>
      <c r="H57" s="39">
        <v>71250964.404339</v>
      </c>
      <c r="I57" s="46">
        <v>12305746.523847254</v>
      </c>
      <c r="J57" s="39">
        <f>+J55-J56</f>
        <v>102111273.54863358</v>
      </c>
      <c r="K57" s="36">
        <v>0</v>
      </c>
      <c r="L57" s="36">
        <v>0</v>
      </c>
      <c r="M57" s="19">
        <v>0</v>
      </c>
    </row>
    <row r="58" spans="1:13" ht="12.75">
      <c r="A58" s="10"/>
      <c r="B58" s="12"/>
      <c r="C58" s="14"/>
      <c r="D58" s="22"/>
      <c r="E58" s="24"/>
      <c r="F58" s="24"/>
      <c r="G58" s="23"/>
      <c r="H58" s="42"/>
      <c r="I58" s="37"/>
      <c r="J58" s="23"/>
      <c r="K58" s="26"/>
      <c r="L58" s="26"/>
      <c r="M58" s="15"/>
    </row>
    <row r="59" spans="1:14" ht="12.75">
      <c r="A59" s="10" t="s">
        <v>80</v>
      </c>
      <c r="B59" s="12" t="s">
        <v>33</v>
      </c>
      <c r="C59" s="14">
        <f>+C43+C47+C51+C55</f>
        <v>645747937.305972</v>
      </c>
      <c r="D59" s="33">
        <f aca="true" t="shared" si="5" ref="D59:L59">+D43+D47+D51+D55</f>
        <v>0</v>
      </c>
      <c r="E59" s="33">
        <f t="shared" si="5"/>
        <v>68802018.122189</v>
      </c>
      <c r="F59" s="37">
        <f t="shared" si="5"/>
        <v>89553761</v>
      </c>
      <c r="G59" s="33">
        <f t="shared" si="5"/>
        <v>48980094.287183</v>
      </c>
      <c r="H59" s="43">
        <f t="shared" si="5"/>
        <v>181055214</v>
      </c>
      <c r="I59" s="43">
        <f>+I43+I47+I51+I55</f>
        <v>47687028.23499999</v>
      </c>
      <c r="J59" s="43">
        <f>+J43+J47+J51+J55</f>
        <v>134908848.4816</v>
      </c>
      <c r="K59" s="33">
        <f t="shared" si="5"/>
        <v>1330323.18</v>
      </c>
      <c r="L59" s="33">
        <f t="shared" si="5"/>
        <v>6417724</v>
      </c>
      <c r="M59" s="33">
        <f>+M43+M47+M51+M55</f>
        <v>67012926</v>
      </c>
      <c r="N59" s="34"/>
    </row>
    <row r="60" spans="2:14" ht="12.75">
      <c r="B60" s="12" t="s">
        <v>34</v>
      </c>
      <c r="C60" s="14">
        <f>+C44+C48+C52+C56</f>
        <v>80814353.99320865</v>
      </c>
      <c r="D60" s="33">
        <f aca="true" t="shared" si="6" ref="D60:L60">+D44+D48+D52+D56</f>
        <v>0</v>
      </c>
      <c r="E60" s="33">
        <f t="shared" si="6"/>
        <v>1914718.0000000002</v>
      </c>
      <c r="F60" s="37">
        <f t="shared" si="6"/>
        <v>19655724.993208636</v>
      </c>
      <c r="G60" s="33">
        <f t="shared" si="6"/>
        <v>7888010</v>
      </c>
      <c r="H60" s="43">
        <f t="shared" si="6"/>
        <v>4017700</v>
      </c>
      <c r="I60" s="43">
        <f>+I44+I48+I52+I56</f>
        <v>3150000</v>
      </c>
      <c r="J60" s="43">
        <f>+J44+J48+J52+J56</f>
        <v>29444667</v>
      </c>
      <c r="K60" s="33">
        <f t="shared" si="6"/>
        <v>239100</v>
      </c>
      <c r="L60" s="33">
        <f t="shared" si="6"/>
        <v>6083400</v>
      </c>
      <c r="M60" s="33">
        <f>+M44+M48+M52+M56</f>
        <v>8421034</v>
      </c>
      <c r="N60" s="34"/>
    </row>
    <row r="61" spans="2:14" ht="12.75">
      <c r="B61" s="12" t="s">
        <v>35</v>
      </c>
      <c r="C61" s="14">
        <f>+C59-C60</f>
        <v>564933583.3127633</v>
      </c>
      <c r="D61" s="33">
        <f aca="true" t="shared" si="7" ref="D61:M61">+D59-D60</f>
        <v>0</v>
      </c>
      <c r="E61" s="33">
        <f t="shared" si="7"/>
        <v>66887300.122189</v>
      </c>
      <c r="F61" s="37">
        <f t="shared" si="7"/>
        <v>69898036.00679137</v>
      </c>
      <c r="G61" s="33">
        <f t="shared" si="7"/>
        <v>41092084.287183</v>
      </c>
      <c r="H61" s="43">
        <f t="shared" si="7"/>
        <v>177037514</v>
      </c>
      <c r="I61" s="43">
        <f t="shared" si="7"/>
        <v>44537028.23499999</v>
      </c>
      <c r="J61" s="43">
        <f t="shared" si="7"/>
        <v>105464181.48159999</v>
      </c>
      <c r="K61" s="33">
        <f t="shared" si="7"/>
        <v>1091223.18</v>
      </c>
      <c r="L61" s="33">
        <f t="shared" si="7"/>
        <v>334324</v>
      </c>
      <c r="M61" s="33">
        <f t="shared" si="7"/>
        <v>58591892</v>
      </c>
      <c r="N61" s="34"/>
    </row>
    <row r="62" spans="5:13" ht="12.75">
      <c r="E62" s="2"/>
      <c r="F62" s="2"/>
      <c r="G62" s="2"/>
      <c r="H62" s="2"/>
      <c r="I62" s="2"/>
      <c r="J62" s="2"/>
      <c r="K62" s="2"/>
      <c r="L62" s="2"/>
      <c r="M62" s="2"/>
    </row>
    <row r="63" spans="5:13" ht="12.75">
      <c r="E63" s="2"/>
      <c r="F63" s="2"/>
      <c r="G63" s="2"/>
      <c r="K63" s="2"/>
      <c r="L63" s="2"/>
      <c r="M63" s="2"/>
    </row>
    <row r="64" spans="1:13" ht="12.75">
      <c r="A64" t="s">
        <v>67</v>
      </c>
      <c r="C64" s="2"/>
      <c r="E64" s="2"/>
      <c r="F64" s="2"/>
      <c r="G64" s="2"/>
      <c r="K64" s="2"/>
      <c r="L64" s="2"/>
      <c r="M64" s="2"/>
    </row>
    <row r="65" spans="1:13" ht="12.75">
      <c r="A65" t="s">
        <v>68</v>
      </c>
      <c r="C65" s="2"/>
      <c r="E65" s="2"/>
      <c r="F65" s="2"/>
      <c r="G65" s="2"/>
      <c r="K65" s="2"/>
      <c r="L65" s="2"/>
      <c r="M65" s="2"/>
    </row>
    <row r="66" spans="3:13" ht="12.75">
      <c r="C66" s="2"/>
      <c r="E66" s="2"/>
      <c r="F66" s="2"/>
      <c r="G66" s="2"/>
      <c r="K66" s="2"/>
      <c r="L66" s="2"/>
      <c r="M66" s="2"/>
    </row>
    <row r="67" spans="5:13" ht="12.75">
      <c r="E67" s="2"/>
      <c r="F67" s="2"/>
      <c r="G67" s="2"/>
      <c r="K67" s="2"/>
      <c r="L67" s="2"/>
      <c r="M67" s="2"/>
    </row>
    <row r="68" spans="5:13" ht="12.75">
      <c r="E68" s="2"/>
      <c r="F68" s="2"/>
      <c r="G68" s="2"/>
      <c r="K68" s="2"/>
      <c r="L68" s="2"/>
      <c r="M68" s="2"/>
    </row>
    <row r="69" spans="5:13" ht="12.75">
      <c r="E69" s="2"/>
      <c r="F69" s="2">
        <v>193543186.44</v>
      </c>
      <c r="G69" s="2">
        <v>61517583.091972</v>
      </c>
      <c r="K69" s="2"/>
      <c r="L69" s="2"/>
      <c r="M69" s="2"/>
    </row>
    <row r="70" spans="5:13" ht="12.75">
      <c r="E70" s="2"/>
      <c r="F70" s="2">
        <v>191769868.17970237</v>
      </c>
      <c r="G70" s="2">
        <f>'Joulukuun uusjako'!C13</f>
        <v>60796514.09197201</v>
      </c>
      <c r="K70" s="2"/>
      <c r="L70" s="2"/>
      <c r="M70" s="2"/>
    </row>
    <row r="71" spans="5:13" ht="12.75">
      <c r="E71" s="2"/>
      <c r="F71" s="2">
        <f>F69-F70</f>
        <v>1773318.2602976263</v>
      </c>
      <c r="G71" s="2">
        <f>G69-G70</f>
        <v>721068.9999999925</v>
      </c>
      <c r="K71" s="2"/>
      <c r="L71" s="2"/>
      <c r="M71" s="2"/>
    </row>
    <row r="72" spans="5:13" ht="12.75">
      <c r="E72" s="2"/>
      <c r="F72" s="2"/>
      <c r="G72" s="2"/>
      <c r="K72" s="2"/>
      <c r="L72" s="2"/>
      <c r="M72" s="2"/>
    </row>
    <row r="73" spans="5:13" ht="12.75">
      <c r="E73" s="2"/>
      <c r="F73" s="2"/>
      <c r="G73" s="2"/>
      <c r="K73" s="2"/>
      <c r="L73" s="2"/>
      <c r="M73" s="2"/>
    </row>
    <row r="74" spans="5:13" ht="12.75">
      <c r="E74" s="52"/>
      <c r="F74" s="53"/>
      <c r="G74" s="2"/>
      <c r="K74" s="2"/>
      <c r="L74" s="2"/>
      <c r="M74" s="2"/>
    </row>
    <row r="75" spans="5:13" ht="12.75">
      <c r="E75" s="2"/>
      <c r="F75" s="2"/>
      <c r="G75" s="2"/>
      <c r="K75" s="2"/>
      <c r="L75" s="2"/>
      <c r="M75" s="2"/>
    </row>
    <row r="76" spans="5:13" ht="12.75">
      <c r="E76" s="2"/>
      <c r="F76" s="2"/>
      <c r="G76" s="2"/>
      <c r="K76" s="2"/>
      <c r="L76" s="2"/>
      <c r="M76" s="2"/>
    </row>
    <row r="77" spans="5:13" ht="12.75">
      <c r="E77" s="2"/>
      <c r="F77" s="2"/>
      <c r="G77" s="2"/>
      <c r="K77" s="2"/>
      <c r="L77" s="2"/>
      <c r="M77" s="2"/>
    </row>
    <row r="78" spans="5:13" ht="12.75">
      <c r="E78" s="2"/>
      <c r="F78" s="2"/>
      <c r="G78" s="2"/>
      <c r="K78" s="2"/>
      <c r="L78" s="2"/>
      <c r="M78" s="2"/>
    </row>
    <row r="79" spans="5:13" ht="12.75">
      <c r="E79" s="2"/>
      <c r="F79" s="2"/>
      <c r="G79" s="2"/>
      <c r="K79" s="2"/>
      <c r="L79" s="2"/>
      <c r="M79" s="2"/>
    </row>
    <row r="80" spans="5:13" ht="12.75">
      <c r="E80" s="2"/>
      <c r="F80" s="2"/>
      <c r="G80" s="2"/>
      <c r="K80" s="2"/>
      <c r="L80" s="2"/>
      <c r="M80" s="2"/>
    </row>
    <row r="81" spans="5:13" ht="12.75">
      <c r="E81" s="2"/>
      <c r="F81" s="2"/>
      <c r="G81" s="2"/>
      <c r="K81" s="2"/>
      <c r="L81" s="2"/>
      <c r="M81" s="2"/>
    </row>
    <row r="82" spans="5:13" ht="12.75">
      <c r="E82" s="2"/>
      <c r="F82" s="2"/>
      <c r="G82" s="2"/>
      <c r="K82" s="2"/>
      <c r="L82" s="2"/>
      <c r="M82" s="2"/>
    </row>
    <row r="83" spans="5:13" ht="12.75">
      <c r="E83" s="2"/>
      <c r="F83" s="2"/>
      <c r="G83" s="2"/>
      <c r="K83" s="2"/>
      <c r="L83" s="2"/>
      <c r="M83" s="2"/>
    </row>
    <row r="84" spans="5:13" ht="12.75">
      <c r="E84" s="2"/>
      <c r="F84" s="2"/>
      <c r="G84" s="2"/>
      <c r="K84" s="2"/>
      <c r="L84" s="2"/>
      <c r="M84" s="2"/>
    </row>
  </sheetData>
  <printOptions/>
  <pageMargins left="0.3937007874015748" right="0.1968503937007874" top="0.3937007874015748" bottom="0.3937007874015748" header="0.5118110236220472" footer="0.5118110236220472"/>
  <pageSetup fitToHeight="0" horizontalDpi="1200" verticalDpi="12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Turun Kaupungin Terveystoimi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sheerva</dc:creator>
  <cp:keywords/>
  <dc:description/>
  <cp:lastModifiedBy>shelajar</cp:lastModifiedBy>
  <cp:lastPrinted>2010-08-18T07:25:30Z</cp:lastPrinted>
  <dcterms:created xsi:type="dcterms:W3CDTF">2004-06-09T13:02:46Z</dcterms:created>
  <dcterms:modified xsi:type="dcterms:W3CDTF">2010-08-18T07:25:55Z</dcterms:modified>
  <cp:category/>
  <cp:version/>
  <cp:contentType/>
  <cp:contentStatus/>
</cp:coreProperties>
</file>