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3200" activeTab="0"/>
  </bookViews>
  <sheets>
    <sheet name="te56" sheetId="1" r:id="rId1"/>
    <sheet name="inv" sheetId="2" r:id="rId2"/>
    <sheet name="ots" sheetId="3" r:id="rId3"/>
  </sheets>
  <definedNames>
    <definedName name="tulosalue">'te56'!$A$42:$D$66</definedName>
    <definedName name="tulostus">'te56'!$A$2:$G$41</definedName>
    <definedName name="_xlnm.Print_Area" localSheetId="1">'inv'!$A$1:$G$22</definedName>
    <definedName name="_xlnm.Print_Area" localSheetId="0">'te56'!$A$1:$G$66</definedName>
  </definedNames>
  <calcPr fullCalcOnLoad="1"/>
</workbook>
</file>

<file path=xl/sharedStrings.xml><?xml version="1.0" encoding="utf-8"?>
<sst xmlns="http://schemas.openxmlformats.org/spreadsheetml/2006/main" count="89" uniqueCount="67">
  <si>
    <t>Muutos-%</t>
  </si>
  <si>
    <t>TILIKAUDEN TULOS</t>
  </si>
  <si>
    <t>SISÄISET ERÄT</t>
  </si>
  <si>
    <t>TOIMINTAKULUT</t>
  </si>
  <si>
    <t>TOIMINTATUOTOT</t>
  </si>
  <si>
    <t>TOIMINTAKULUISTA</t>
  </si>
  <si>
    <t>TOIMINTATUOTOISTA</t>
  </si>
  <si>
    <t>VARSINAINEN TOIMINTA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</si>
  <si>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</si>
  <si>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</si>
  <si>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</si>
  <si>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</si>
  <si>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</si>
  <si>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</si>
  <si>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</si>
  <si>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Henkilöstökulut</t>
  </si>
  <si>
    <t xml:space="preserve">  Palkat ja palkkiot</t>
  </si>
  <si>
    <t xml:space="preserve">  Henkilösivukulut</t>
  </si>
  <si>
    <t>Palvelujen ostot</t>
  </si>
  <si>
    <t>Aineet, tarvikkeet ja tavarat</t>
  </si>
  <si>
    <t>Avustukset</t>
  </si>
  <si>
    <t>Muut toimintakulut</t>
  </si>
  <si>
    <t>TOIMINTAKATE</t>
  </si>
  <si>
    <t>Poistot ja arvonalentumiset</t>
  </si>
  <si>
    <t>Toimintatuotot</t>
  </si>
  <si>
    <t>Toimintakulut</t>
  </si>
  <si>
    <t>Toimintakate</t>
  </si>
  <si>
    <t>Käyttötalousosa</t>
  </si>
  <si>
    <t>Asiakaspalvelujen ostot</t>
  </si>
  <si>
    <t xml:space="preserve">  Sisäiset vuokrat</t>
  </si>
  <si>
    <t>Määrärahat ja tuloerät</t>
  </si>
  <si>
    <t>Tuloslaskelma</t>
  </si>
  <si>
    <t>Netto</t>
  </si>
  <si>
    <t>Investointiosa</t>
  </si>
  <si>
    <t>Menot</t>
  </si>
  <si>
    <t>Tulot</t>
  </si>
  <si>
    <t xml:space="preserve">Tulosalueet
</t>
  </si>
  <si>
    <t xml:space="preserve">  johon sis. mks:iä</t>
  </si>
  <si>
    <t>Toimintatuotot (R5)– Tulosalueiden toimintatuotot yhteensä</t>
  </si>
  <si>
    <t>Toimintakulut (R6) – Tulosalueiden toimintakulut yhteensä</t>
  </si>
  <si>
    <t>Toimintakate (R8) – Tulosalueiden netot yhteensä</t>
  </si>
  <si>
    <t>MENOT</t>
  </si>
  <si>
    <t>TULOT</t>
  </si>
  <si>
    <t>NETTO</t>
  </si>
  <si>
    <t>54 Valtionosuudet ja muut 
rahoitusosuudet</t>
  </si>
  <si>
    <t>1 56 KULTTUURILAUTAKUNTA</t>
  </si>
  <si>
    <t>1 56 15 KIRJASTOTOIMI</t>
  </si>
  <si>
    <t>2 56 KULTTUURILAUTAKUNTA</t>
  </si>
  <si>
    <t>josta käyttötalousosaan kirjattavan myyntivoiton/
myyntitappion osuus</t>
  </si>
  <si>
    <t>1901 Asuinrakennukset</t>
  </si>
  <si>
    <t>1902 Muut rakennukset</t>
  </si>
  <si>
    <t>1903 Kuljetusvälineet</t>
  </si>
  <si>
    <t>1904 Muut koneet ja kalusto</t>
  </si>
  <si>
    <t>1905 Kiinteät rakenteet ja laitteet</t>
  </si>
  <si>
    <t>1906 Maa- ja vesialueet</t>
  </si>
  <si>
    <t>1907 Osakkeet ja osuudet</t>
  </si>
  <si>
    <t>1908 Muut aineelliset hyödykkeet</t>
  </si>
  <si>
    <t>1909 IT-hankinnat</t>
  </si>
  <si>
    <t>1910 Tietoliikenne</t>
  </si>
  <si>
    <t>19 Investointimenot</t>
  </si>
  <si>
    <t>2 56 10 INVESTOINNIT</t>
  </si>
  <si>
    <t>64 Pysyvien vastaavien luovutustulot,</t>
  </si>
  <si>
    <t xml:space="preserve">1 56 08 TYÖLLISTETTÄVÄT </t>
  </si>
  <si>
    <t>1 56 10 KULTTUURIASIAINKESKUKSEN KANSLIA</t>
  </si>
  <si>
    <t>1 56 17 TURUN MUSEOKESKUS (NETTOYKSIKKÖ)</t>
  </si>
  <si>
    <t>1 56 12 KAUPUNGINTEATTERI (NETTOYKSIKKÖ)</t>
  </si>
  <si>
    <t>1 56 13 KAUPUNGINORKESTERI JA KONSERTTITALO (NETTOYKSIKKÖ)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</si>
</sst>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.0_);\(#,##0.0\)"/>
    <numFmt numFmtId="174" formatCode=";;;"/>
    <numFmt numFmtId="175" formatCode="#,##0.0"/>
    <numFmt numFmtId="176" formatCode="#,##0.000"/>
    <numFmt numFmtId="177" formatCode="#,##0.0000"/>
    <numFmt numFmtId="178" formatCode="#,##0&quot;mk&quot;_);\(#,##0&quot;mk&quot;\)"/>
    <numFmt numFmtId="179" formatCode="#,##0.00_);\(#,##0.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Alignment="1" applyProtection="1" quotePrefix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1" fillId="0" borderId="0" xfId="0" applyNumberFormat="1" applyFont="1" applyAlignment="1" applyProtection="1" quotePrefix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left" wrapText="1"/>
      <protection locked="0"/>
    </xf>
    <xf numFmtId="3" fontId="4" fillId="0" borderId="0" xfId="0" applyNumberFormat="1" applyFont="1" applyAlignment="1" applyProtection="1">
      <alignment horizontal="left" vertical="top"/>
      <protection locked="0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 quotePrefix="1">
      <alignment horizontal="left"/>
      <protection/>
    </xf>
    <xf numFmtId="4" fontId="6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right"/>
      <protection/>
    </xf>
    <xf numFmtId="175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Alignment="1" applyProtection="1">
      <alignment horizontal="left" vertical="top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left" vertical="top"/>
      <protection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left" vertical="top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vertical="top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workbookViewId="0" topLeftCell="A22">
      <selection activeCell="F19" sqref="F19"/>
    </sheetView>
  </sheetViews>
  <sheetFormatPr defaultColWidth="9.140625" defaultRowHeight="12.75"/>
  <cols>
    <col min="1" max="1" width="22.7109375" style="18" customWidth="1"/>
    <col min="2" max="2" width="12.00390625" style="18" bestFit="1" customWidth="1"/>
    <col min="3" max="3" width="12.00390625" style="18" customWidth="1"/>
    <col min="4" max="5" width="12.00390625" style="18" bestFit="1" customWidth="1"/>
    <col min="6" max="7" width="9.28125" style="18" customWidth="1"/>
    <col min="8" max="8" width="13.28125" style="17" bestFit="1" customWidth="1"/>
    <col min="9" max="9" width="9.421875" style="17" bestFit="1" customWidth="1"/>
    <col min="10" max="10" width="10.421875" style="17" bestFit="1" customWidth="1"/>
    <col min="11" max="16384" width="9.140625" style="18" customWidth="1"/>
  </cols>
  <sheetData>
    <row r="1" spans="1:8" ht="24.75" customHeight="1">
      <c r="A1" s="53" t="s">
        <v>45</v>
      </c>
      <c r="B1" s="15"/>
      <c r="C1" s="15"/>
      <c r="D1" s="15"/>
      <c r="E1" s="15"/>
      <c r="F1" s="15"/>
      <c r="G1" s="15"/>
      <c r="H1" s="16" t="s">
        <v>38</v>
      </c>
    </row>
    <row r="2" spans="1:8" ht="24.75" customHeight="1">
      <c r="A2" s="19" t="s">
        <v>30</v>
      </c>
      <c r="H2" s="16" t="s">
        <v>39</v>
      </c>
    </row>
    <row r="3" spans="1:8" ht="51">
      <c r="A3" s="20"/>
      <c r="B3" s="6" t="str">
        <f>"TP "&amp;ots!$A$1-2&amp;"
(€)"</f>
        <v>TP 2007
(€)</v>
      </c>
      <c r="C3" s="6" t="str">
        <f>"TA "&amp;ots!$A$1-1&amp;"
(€)"</f>
        <v>TA 2008
(€)</v>
      </c>
      <c r="D3" s="6" t="str">
        <f>"TA 2009
(€)"</f>
        <v>TA 2009
(€)</v>
      </c>
      <c r="E3" s="6" t="str">
        <f>"Talousarvio-ehdotus
"&amp;ots!$A$1&amp;" 
(€)"</f>
        <v>Talousarvio-ehdotus
2009 
(€)</v>
      </c>
      <c r="F3" s="6" t="str">
        <f>"TS "&amp;ots!$A$1+1&amp;"
(1.000 €)"</f>
        <v>TS 2010
(1.000 €)</v>
      </c>
      <c r="G3" s="6" t="str">
        <f>"TS "&amp;ots!$A$1+2&amp;"
(1.000 €)"</f>
        <v>TS 2011
(1.000 €)</v>
      </c>
      <c r="H3" s="16" t="s">
        <v>40</v>
      </c>
    </row>
    <row r="4" spans="1:10" ht="12.75">
      <c r="A4" s="21" t="s">
        <v>27</v>
      </c>
      <c r="B4" s="22"/>
      <c r="C4" s="22"/>
      <c r="D4" s="22"/>
      <c r="E4" s="22"/>
      <c r="F4" s="22"/>
      <c r="G4" s="22"/>
      <c r="H4" s="17" t="str">
        <f>"TP "&amp;ots!$A$1-2</f>
        <v>TP 2007</v>
      </c>
      <c r="I4" s="17" t="str">
        <f>"TA "&amp;ots!$A$1-1</f>
        <v>TA 2008</v>
      </c>
      <c r="J4" s="17" t="str">
        <f>"HK "&amp;ots!$A$1</f>
        <v>HK 2009</v>
      </c>
    </row>
    <row r="5" spans="1:10" ht="12.75">
      <c r="A5" s="20" t="s">
        <v>24</v>
      </c>
      <c r="B5" s="23">
        <f>SUM(B16+B23)</f>
        <v>6361380.82</v>
      </c>
      <c r="C5" s="23">
        <f>SUM(C16+C23)</f>
        <v>4806148</v>
      </c>
      <c r="D5" s="23">
        <f>SUM(D16+D23)</f>
        <v>5299999</v>
      </c>
      <c r="E5" s="24">
        <v>5299999</v>
      </c>
      <c r="F5" s="25"/>
      <c r="G5" s="25"/>
      <c r="H5" s="17">
        <f aca="true" t="shared" si="0" ref="H5:J6">+B5-B44-B48-B52-B56-B60-B64</f>
        <v>0</v>
      </c>
      <c r="I5" s="17">
        <f t="shared" si="0"/>
        <v>0</v>
      </c>
      <c r="J5" s="17">
        <f t="shared" si="0"/>
        <v>0</v>
      </c>
    </row>
    <row r="6" spans="1:10" ht="12.75">
      <c r="A6" s="20" t="s">
        <v>25</v>
      </c>
      <c r="B6" s="23">
        <f>SUM(B24)</f>
        <v>33042846.240000002</v>
      </c>
      <c r="C6" s="23">
        <f>SUM(C24)</f>
        <v>33509936</v>
      </c>
      <c r="D6" s="23">
        <f>SUM(D24)</f>
        <v>35935216</v>
      </c>
      <c r="E6" s="24">
        <v>35935216</v>
      </c>
      <c r="F6" s="25"/>
      <c r="G6" s="25"/>
      <c r="H6" s="17">
        <f t="shared" si="0"/>
        <v>0</v>
      </c>
      <c r="I6" s="17">
        <f t="shared" si="0"/>
        <v>0</v>
      </c>
      <c r="J6" s="17">
        <f t="shared" si="0"/>
        <v>0</v>
      </c>
    </row>
    <row r="7" spans="1:10" ht="12.75">
      <c r="A7" s="26" t="s">
        <v>37</v>
      </c>
      <c r="B7" s="25">
        <v>926178.64</v>
      </c>
      <c r="C7" s="23"/>
      <c r="D7" s="23"/>
      <c r="E7" s="25"/>
      <c r="F7" s="25"/>
      <c r="G7" s="25"/>
      <c r="H7" s="17">
        <f>B8-(B46+B50+B54+B58+B62+B66)</f>
        <v>0</v>
      </c>
      <c r="I7" s="17">
        <f>C8-(C46+C50+C54+C58+C62+C66)</f>
        <v>0</v>
      </c>
      <c r="J7" s="17">
        <f>D8-(D46+D50+D54+D58+D62+D66)</f>
        <v>0</v>
      </c>
    </row>
    <row r="8" spans="1:8" ht="12.75">
      <c r="A8" s="20" t="s">
        <v>26</v>
      </c>
      <c r="B8" s="23">
        <f>+B5-B6</f>
        <v>-26681465.42</v>
      </c>
      <c r="C8" s="23">
        <f>+C5-C6</f>
        <v>-28703788</v>
      </c>
      <c r="D8" s="23">
        <f>+D5-D6</f>
        <v>-30635217</v>
      </c>
      <c r="E8" s="23">
        <f>+E5-E6</f>
        <v>-30635217</v>
      </c>
      <c r="F8" s="24">
        <v>-30465</v>
      </c>
      <c r="G8" s="24">
        <v>-30465</v>
      </c>
      <c r="H8" s="27"/>
    </row>
    <row r="9" spans="1:8" ht="12.75">
      <c r="A9" s="28" t="s">
        <v>0</v>
      </c>
      <c r="B9" s="29"/>
      <c r="C9" s="30">
        <f>IF(ISERR(100*C8/B8-100),0,100*C8/B8-100)</f>
        <v>7.579503404952035</v>
      </c>
      <c r="D9" s="31">
        <f>IF(ISERR(100*D8/C8-100),0,100*D8/C8-100)</f>
        <v>6.728829658301549</v>
      </c>
      <c r="E9" s="30">
        <f>IF(ISERR(100*E8/C8-100),0,100*E8/C8-100)</f>
        <v>6.728829658301549</v>
      </c>
      <c r="F9" s="31">
        <f>IF(ISERR(100*F8*1000/E8-100),0,100*F8*1000/E8-100)</f>
        <v>-0.5556252465912053</v>
      </c>
      <c r="G9" s="30">
        <f>IF(ISERR(100*G8/F8-100),0,100*G8/F8-100)</f>
        <v>0</v>
      </c>
      <c r="H9" s="27"/>
    </row>
    <row r="10" spans="1:7" ht="12.75">
      <c r="A10" s="21" t="s">
        <v>33</v>
      </c>
      <c r="B10" s="29"/>
      <c r="C10" s="30"/>
      <c r="D10" s="31"/>
      <c r="E10" s="30"/>
      <c r="F10" s="31"/>
      <c r="G10" s="30"/>
    </row>
    <row r="11" spans="1:7" ht="12.75">
      <c r="A11" s="20" t="s">
        <v>34</v>
      </c>
      <c r="B11" s="22">
        <f>inv!B4</f>
        <v>856318.08</v>
      </c>
      <c r="C11" s="32">
        <f>inv!C4</f>
        <v>1079980</v>
      </c>
      <c r="D11" s="33">
        <f>inv!D4</f>
        <v>400000</v>
      </c>
      <c r="E11" s="34">
        <f>inv!E4</f>
        <v>400000</v>
      </c>
      <c r="F11" s="35">
        <f>inv!F4</f>
        <v>465</v>
      </c>
      <c r="G11" s="34">
        <f>inv!G4</f>
        <v>350</v>
      </c>
    </row>
    <row r="12" spans="1:7" ht="12.75">
      <c r="A12" s="20" t="s">
        <v>35</v>
      </c>
      <c r="B12" s="22">
        <f>inv!B5</f>
        <v>0</v>
      </c>
      <c r="C12" s="32">
        <f>inv!C5</f>
        <v>0</v>
      </c>
      <c r="D12" s="33">
        <f>inv!D5</f>
        <v>0</v>
      </c>
      <c r="E12" s="34">
        <f>inv!E5</f>
        <v>0</v>
      </c>
      <c r="F12" s="35">
        <f>inv!F5</f>
        <v>0</v>
      </c>
      <c r="G12" s="34">
        <f>inv!G5</f>
        <v>0</v>
      </c>
    </row>
    <row r="13" spans="1:7" ht="30" customHeight="1">
      <c r="A13" s="36" t="s">
        <v>32</v>
      </c>
      <c r="B13" s="22">
        <f aca="true" t="shared" si="1" ref="B13:G13">-B11+B12</f>
        <v>-856318.08</v>
      </c>
      <c r="C13" s="22">
        <f t="shared" si="1"/>
        <v>-1079980</v>
      </c>
      <c r="D13" s="22">
        <f t="shared" si="1"/>
        <v>-400000</v>
      </c>
      <c r="E13" s="22">
        <f t="shared" si="1"/>
        <v>-400000</v>
      </c>
      <c r="F13" s="22">
        <f t="shared" si="1"/>
        <v>-465</v>
      </c>
      <c r="G13" s="22">
        <f t="shared" si="1"/>
        <v>-350</v>
      </c>
    </row>
    <row r="14" spans="1:7" ht="12.75">
      <c r="A14" s="37" t="s">
        <v>31</v>
      </c>
      <c r="B14" s="22"/>
      <c r="C14" s="22"/>
      <c r="D14" s="22"/>
      <c r="E14" s="22"/>
      <c r="F14" s="22"/>
      <c r="G14" s="22"/>
    </row>
    <row r="15" spans="1:7" ht="12.75">
      <c r="A15" s="38" t="s">
        <v>7</v>
      </c>
      <c r="B15" s="23"/>
      <c r="C15" s="23"/>
      <c r="D15" s="23"/>
      <c r="E15" s="23"/>
      <c r="F15" s="23"/>
      <c r="G15" s="23"/>
    </row>
    <row r="16" spans="1:7" ht="12.75">
      <c r="A16" s="38" t="s">
        <v>4</v>
      </c>
      <c r="B16" s="39">
        <f>SUM(B17:B22)</f>
        <v>6359842.82</v>
      </c>
      <c r="C16" s="39">
        <f>SUM(C17:C22)</f>
        <v>4806148</v>
      </c>
      <c r="D16" s="39">
        <f>SUM(D17:D22)</f>
        <v>5299999</v>
      </c>
      <c r="E16" s="23"/>
      <c r="F16" s="23"/>
      <c r="G16" s="23"/>
    </row>
    <row r="17" spans="1:7" ht="12.75">
      <c r="A17" s="40" t="s">
        <v>8</v>
      </c>
      <c r="B17" s="25">
        <v>686475.66</v>
      </c>
      <c r="C17" s="41">
        <f>729300-4250</f>
        <v>725050</v>
      </c>
      <c r="D17" s="41">
        <v>861530</v>
      </c>
      <c r="E17" s="22"/>
      <c r="F17" s="22"/>
      <c r="G17" s="22"/>
    </row>
    <row r="18" spans="1:7" ht="12.75">
      <c r="A18" s="40" t="s">
        <v>9</v>
      </c>
      <c r="B18" s="25">
        <v>3119991.86</v>
      </c>
      <c r="C18" s="42">
        <f>3024568+4250</f>
        <v>3028818</v>
      </c>
      <c r="D18" s="42">
        <v>3255169</v>
      </c>
      <c r="E18" s="43"/>
      <c r="F18" s="43"/>
      <c r="G18" s="43"/>
    </row>
    <row r="19" spans="1:7" ht="12.75">
      <c r="A19" s="40" t="s">
        <v>10</v>
      </c>
      <c r="B19" s="25">
        <f>625925.76+199384.93</f>
        <v>825310.69</v>
      </c>
      <c r="C19" s="42">
        <v>77000</v>
      </c>
      <c r="D19" s="42">
        <v>61000</v>
      </c>
      <c r="E19" s="43"/>
      <c r="F19" s="43"/>
      <c r="G19" s="43"/>
    </row>
    <row r="20" spans="1:7" ht="12.75">
      <c r="A20" s="40" t="s">
        <v>11</v>
      </c>
      <c r="B20" s="43"/>
      <c r="C20" s="43"/>
      <c r="D20" s="43"/>
      <c r="E20" s="43"/>
      <c r="F20" s="43"/>
      <c r="G20" s="43"/>
    </row>
    <row r="21" spans="1:7" ht="12.75">
      <c r="A21" s="40" t="s">
        <v>12</v>
      </c>
      <c r="B21" s="25">
        <v>624402.49</v>
      </c>
      <c r="C21" s="42">
        <v>552380</v>
      </c>
      <c r="D21" s="42">
        <v>754800</v>
      </c>
      <c r="E21" s="43"/>
      <c r="F21" s="43"/>
      <c r="G21" s="43"/>
    </row>
    <row r="22" spans="1:7" ht="12.75">
      <c r="A22" s="40" t="s">
        <v>13</v>
      </c>
      <c r="B22" s="25">
        <f>381050.58+722611.54</f>
        <v>1103662.12</v>
      </c>
      <c r="C22" s="42">
        <v>422900</v>
      </c>
      <c r="D22" s="42">
        <v>367500</v>
      </c>
      <c r="E22" s="43"/>
      <c r="F22" s="43"/>
      <c r="G22" s="43"/>
    </row>
    <row r="23" spans="1:7" ht="25.5">
      <c r="A23" s="44" t="s">
        <v>14</v>
      </c>
      <c r="B23" s="45">
        <v>1538</v>
      </c>
      <c r="C23" s="46">
        <v>0</v>
      </c>
      <c r="D23" s="46"/>
      <c r="E23" s="43"/>
      <c r="F23" s="43"/>
      <c r="G23" s="43"/>
    </row>
    <row r="24" spans="1:7" ht="12.75">
      <c r="A24" s="38" t="s">
        <v>3</v>
      </c>
      <c r="B24" s="47">
        <f>SUM(B26:B35)</f>
        <v>33042846.240000002</v>
      </c>
      <c r="C24" s="47">
        <f>SUM(C26:C35)</f>
        <v>33509936</v>
      </c>
      <c r="D24" s="47">
        <f>SUM(D26:D35)</f>
        <v>35935216</v>
      </c>
      <c r="E24" s="43"/>
      <c r="F24" s="43"/>
      <c r="G24" s="43"/>
    </row>
    <row r="25" spans="1:7" ht="12.75">
      <c r="A25" s="40" t="s">
        <v>15</v>
      </c>
      <c r="B25" s="43"/>
      <c r="C25" s="43"/>
      <c r="D25" s="43"/>
      <c r="E25" s="43"/>
      <c r="F25" s="43"/>
      <c r="G25" s="43"/>
    </row>
    <row r="26" spans="1:7" ht="12.75">
      <c r="A26" s="40" t="s">
        <v>16</v>
      </c>
      <c r="B26" s="25">
        <f>15342765.42-178056.85</f>
        <v>15164708.57</v>
      </c>
      <c r="C26" s="42">
        <f>14250486-2873</f>
        <v>14247613</v>
      </c>
      <c r="D26" s="42">
        <v>15524070</v>
      </c>
      <c r="E26" s="43"/>
      <c r="F26" s="43"/>
      <c r="G26" s="43"/>
    </row>
    <row r="27" spans="1:7" ht="12.75">
      <c r="A27" s="40" t="s">
        <v>17</v>
      </c>
      <c r="B27" s="25">
        <v>4765630.72</v>
      </c>
      <c r="C27" s="42">
        <f>4863206-693</f>
        <v>4862513</v>
      </c>
      <c r="D27" s="42">
        <v>5139885</v>
      </c>
      <c r="E27" s="43"/>
      <c r="F27" s="43"/>
      <c r="G27" s="43"/>
    </row>
    <row r="28" spans="1:7" ht="12.75">
      <c r="A28" s="40" t="s">
        <v>18</v>
      </c>
      <c r="B28" s="25">
        <v>3848681.32</v>
      </c>
      <c r="C28" s="42">
        <f>3952969+12617</f>
        <v>3965586</v>
      </c>
      <c r="D28" s="42">
        <v>3973145</v>
      </c>
      <c r="E28" s="43"/>
      <c r="F28" s="43"/>
      <c r="G28" s="43"/>
    </row>
    <row r="29" spans="1:7" ht="12.75">
      <c r="A29" s="40" t="s">
        <v>28</v>
      </c>
      <c r="B29" s="25"/>
      <c r="C29" s="42">
        <v>0</v>
      </c>
      <c r="D29" s="42"/>
      <c r="E29" s="43"/>
      <c r="F29" s="43"/>
      <c r="G29" s="43"/>
    </row>
    <row r="30" spans="1:7" ht="12.75">
      <c r="A30" s="40" t="s">
        <v>19</v>
      </c>
      <c r="B30" s="25">
        <f>2357445.84-2641.73</f>
        <v>2354804.11</v>
      </c>
      <c r="C30" s="42">
        <f>2314111+15562</f>
        <v>2329673</v>
      </c>
      <c r="D30" s="42">
        <v>2666093</v>
      </c>
      <c r="E30" s="43"/>
      <c r="F30" s="43"/>
      <c r="G30" s="43"/>
    </row>
    <row r="31" spans="1:7" ht="12.75">
      <c r="A31" s="40" t="s">
        <v>20</v>
      </c>
      <c r="B31" s="25">
        <v>678030</v>
      </c>
      <c r="C31" s="42">
        <f>727700+50000</f>
        <v>777700</v>
      </c>
      <c r="D31" s="42">
        <v>977000</v>
      </c>
      <c r="E31" s="43"/>
      <c r="F31" s="43"/>
      <c r="G31" s="43"/>
    </row>
    <row r="32" spans="1:7" ht="12.75">
      <c r="A32" s="40" t="s">
        <v>21</v>
      </c>
      <c r="B32" s="43"/>
      <c r="C32" s="43"/>
      <c r="D32" s="43"/>
      <c r="E32" s="43"/>
      <c r="F32" s="43"/>
      <c r="G32" s="43"/>
    </row>
    <row r="33" spans="1:7" ht="12.75">
      <c r="A33" s="40" t="s">
        <v>12</v>
      </c>
      <c r="B33" s="25">
        <v>415670.92</v>
      </c>
      <c r="C33" s="42">
        <f>385997+1522</f>
        <v>387519</v>
      </c>
      <c r="D33" s="42">
        <v>393525</v>
      </c>
      <c r="E33" s="43"/>
      <c r="F33" s="43"/>
      <c r="G33" s="43"/>
    </row>
    <row r="34" spans="1:7" ht="12.75">
      <c r="A34" s="40" t="s">
        <v>29</v>
      </c>
      <c r="B34" s="25">
        <v>4955403</v>
      </c>
      <c r="C34" s="42">
        <f>5133266+912358</f>
        <v>6045624</v>
      </c>
      <c r="D34" s="42">
        <v>6390769</v>
      </c>
      <c r="E34" s="43"/>
      <c r="F34" s="43"/>
      <c r="G34" s="43"/>
    </row>
    <row r="35" spans="1:7" ht="12.75">
      <c r="A35" s="40" t="s">
        <v>13</v>
      </c>
      <c r="B35" s="25">
        <f>354077.19+505840.41</f>
        <v>859917.6</v>
      </c>
      <c r="C35" s="42">
        <f>784313+109395</f>
        <v>893708</v>
      </c>
      <c r="D35" s="42">
        <v>870729</v>
      </c>
      <c r="E35" s="43"/>
      <c r="F35" s="43"/>
      <c r="G35" s="43"/>
    </row>
    <row r="36" spans="1:7" ht="12.75">
      <c r="A36" s="48" t="s">
        <v>22</v>
      </c>
      <c r="B36" s="49">
        <f>+B16+B23-B24</f>
        <v>-26681465.42</v>
      </c>
      <c r="C36" s="49">
        <f>+C16+C23-C24</f>
        <v>-28703788</v>
      </c>
      <c r="D36" s="49">
        <f>+D16+D23-D24</f>
        <v>-30635217</v>
      </c>
      <c r="E36" s="43"/>
      <c r="F36" s="43"/>
      <c r="G36" s="43"/>
    </row>
    <row r="37" spans="1:7" ht="12.75">
      <c r="A37" s="40" t="s">
        <v>23</v>
      </c>
      <c r="B37" s="25">
        <v>500695.06</v>
      </c>
      <c r="C37" s="42">
        <v>675262</v>
      </c>
      <c r="D37" s="42">
        <v>749888</v>
      </c>
      <c r="E37" s="43"/>
      <c r="F37" s="43"/>
      <c r="G37" s="43"/>
    </row>
    <row r="38" spans="1:7" ht="12.75">
      <c r="A38" s="38" t="s">
        <v>1</v>
      </c>
      <c r="B38" s="47">
        <f>+B36-B37</f>
        <v>-27182160.48</v>
      </c>
      <c r="C38" s="47">
        <f>+C36-C37</f>
        <v>-29379050</v>
      </c>
      <c r="D38" s="47">
        <f>+D36-D37</f>
        <v>-31385105</v>
      </c>
      <c r="E38" s="43"/>
      <c r="F38" s="43"/>
      <c r="G38" s="43"/>
    </row>
    <row r="39" spans="1:7" ht="12.75">
      <c r="A39" s="40" t="s">
        <v>2</v>
      </c>
      <c r="B39" s="43"/>
      <c r="C39" s="43"/>
      <c r="D39" s="43"/>
      <c r="E39" s="43"/>
      <c r="F39" s="43"/>
      <c r="G39" s="43"/>
    </row>
    <row r="40" spans="1:7" ht="12.75">
      <c r="A40" s="40" t="s">
        <v>6</v>
      </c>
      <c r="B40" s="25">
        <v>1035267.46</v>
      </c>
      <c r="C40" s="42">
        <v>2000</v>
      </c>
      <c r="D40" s="42">
        <v>16200</v>
      </c>
      <c r="E40" s="43"/>
      <c r="F40" s="43"/>
      <c r="G40" s="43"/>
    </row>
    <row r="41" spans="1:7" ht="12.75">
      <c r="A41" s="40" t="s">
        <v>5</v>
      </c>
      <c r="B41" s="25">
        <v>6627896.04</v>
      </c>
      <c r="C41" s="42">
        <f>6576330+910518</f>
        <v>7486848</v>
      </c>
      <c r="D41" s="42">
        <v>8242023</v>
      </c>
      <c r="E41" s="43"/>
      <c r="F41" s="43"/>
      <c r="G41" s="43"/>
    </row>
    <row r="42" spans="1:7" ht="25.5">
      <c r="A42" s="50" t="s">
        <v>36</v>
      </c>
      <c r="B42" s="6" t="str">
        <f>"TP "&amp;ots!$A$1-2&amp;"
(€)"</f>
        <v>TP 2007
(€)</v>
      </c>
      <c r="C42" s="6" t="str">
        <f>"TA "&amp;ots!$A$1-1&amp;"
(€)"</f>
        <v>TA 2008
(€)</v>
      </c>
      <c r="D42" s="6" t="str">
        <f>"TA "&amp;ots!$A$1&amp;"
(€)"</f>
        <v>TA 2009
(€)</v>
      </c>
      <c r="E42" s="43"/>
      <c r="F42" s="43"/>
      <c r="G42" s="43"/>
    </row>
    <row r="43" spans="1:7" ht="12.75">
      <c r="A43" s="51" t="s">
        <v>62</v>
      </c>
      <c r="B43" s="43"/>
      <c r="C43" s="43"/>
      <c r="D43" s="43"/>
      <c r="E43" s="43"/>
      <c r="F43" s="43"/>
      <c r="G43" s="43"/>
    </row>
    <row r="44" spans="1:7" ht="12.75">
      <c r="A44" s="52" t="s">
        <v>24</v>
      </c>
      <c r="B44" s="25">
        <v>548731.95</v>
      </c>
      <c r="C44" s="42"/>
      <c r="D44" s="42"/>
      <c r="E44" s="43"/>
      <c r="F44" s="43"/>
      <c r="G44" s="43"/>
    </row>
    <row r="45" spans="1:7" ht="12.75">
      <c r="A45" s="52" t="s">
        <v>25</v>
      </c>
      <c r="B45" s="25">
        <v>1285238.85</v>
      </c>
      <c r="C45" s="42"/>
      <c r="D45" s="42"/>
      <c r="E45" s="43"/>
      <c r="F45" s="43"/>
      <c r="G45" s="43"/>
    </row>
    <row r="46" spans="1:7" ht="12.75">
      <c r="A46" s="52" t="s">
        <v>32</v>
      </c>
      <c r="B46" s="43">
        <f>+B44-B45</f>
        <v>-736506.9000000001</v>
      </c>
      <c r="C46" s="43">
        <f>+C44-C45</f>
        <v>0</v>
      </c>
      <c r="D46" s="43">
        <f>+D44-D45</f>
        <v>0</v>
      </c>
      <c r="E46" s="43"/>
      <c r="F46" s="43"/>
      <c r="G46" s="43"/>
    </row>
    <row r="47" spans="1:7" ht="12.75">
      <c r="A47" s="51" t="s">
        <v>63</v>
      </c>
      <c r="B47" s="43"/>
      <c r="C47" s="43"/>
      <c r="D47" s="43"/>
      <c r="E47" s="43"/>
      <c r="F47" s="43"/>
      <c r="G47" s="43"/>
    </row>
    <row r="48" spans="1:7" ht="12.75">
      <c r="A48" s="52" t="s">
        <v>24</v>
      </c>
      <c r="B48" s="25">
        <v>378980.39</v>
      </c>
      <c r="C48" s="42">
        <f>2000+163300</f>
        <v>165300</v>
      </c>
      <c r="D48" s="42">
        <v>206382</v>
      </c>
      <c r="E48" s="43"/>
      <c r="F48" s="43"/>
      <c r="G48" s="43"/>
    </row>
    <row r="49" spans="1:7" ht="12.75">
      <c r="A49" s="52" t="s">
        <v>25</v>
      </c>
      <c r="B49" s="25">
        <v>2372286.15</v>
      </c>
      <c r="C49" s="42">
        <f>3343900+197331+461478</f>
        <v>4002709</v>
      </c>
      <c r="D49" s="42">
        <v>3977744</v>
      </c>
      <c r="E49" s="43"/>
      <c r="F49" s="43"/>
      <c r="G49" s="43"/>
    </row>
    <row r="50" spans="1:7" ht="12.75">
      <c r="A50" s="52" t="s">
        <v>32</v>
      </c>
      <c r="B50" s="43">
        <f>+B48-B49</f>
        <v>-1993305.7599999998</v>
      </c>
      <c r="C50" s="43">
        <f>+C48-C49</f>
        <v>-3837409</v>
      </c>
      <c r="D50" s="43">
        <f>+D48-D49</f>
        <v>-3771362</v>
      </c>
      <c r="E50" s="43"/>
      <c r="F50" s="43"/>
      <c r="G50" s="43"/>
    </row>
    <row r="51" spans="1:7" ht="12.75">
      <c r="A51" s="51" t="s">
        <v>65</v>
      </c>
      <c r="B51" s="43"/>
      <c r="C51" s="43"/>
      <c r="D51" s="43"/>
      <c r="E51" s="43"/>
      <c r="F51" s="43"/>
      <c r="G51" s="43"/>
    </row>
    <row r="52" spans="1:7" ht="12.75">
      <c r="A52" s="52" t="s">
        <v>24</v>
      </c>
      <c r="B52" s="25">
        <v>1607149.35</v>
      </c>
      <c r="C52" s="42">
        <v>1674143</v>
      </c>
      <c r="D52" s="42">
        <v>1690802</v>
      </c>
      <c r="E52" s="43"/>
      <c r="F52" s="43"/>
      <c r="G52" s="43"/>
    </row>
    <row r="53" spans="1:7" ht="12.75">
      <c r="A53" s="52" t="s">
        <v>25</v>
      </c>
      <c r="B53" s="25">
        <v>6903341.19</v>
      </c>
      <c r="C53" s="42">
        <f>6730143-374097</f>
        <v>6356046</v>
      </c>
      <c r="D53" s="42">
        <v>6685175</v>
      </c>
      <c r="E53" s="43"/>
      <c r="F53" s="43"/>
      <c r="G53" s="43"/>
    </row>
    <row r="54" spans="1:7" ht="12.75">
      <c r="A54" s="52" t="s">
        <v>32</v>
      </c>
      <c r="B54" s="43">
        <f>+B52-B53</f>
        <v>-5296191.84</v>
      </c>
      <c r="C54" s="43">
        <f>+C52-C53</f>
        <v>-4681903</v>
      </c>
      <c r="D54" s="43">
        <f>+D52-D53</f>
        <v>-4994373</v>
      </c>
      <c r="E54" s="43"/>
      <c r="F54" s="43"/>
      <c r="G54" s="43"/>
    </row>
    <row r="55" spans="1:7" ht="12.75">
      <c r="A55" s="51" t="s">
        <v>66</v>
      </c>
      <c r="B55" s="43"/>
      <c r="C55" s="43"/>
      <c r="D55" s="43"/>
      <c r="E55" s="43"/>
      <c r="F55" s="43"/>
      <c r="G55" s="43"/>
    </row>
    <row r="56" spans="1:7" ht="12.75">
      <c r="A56" s="52" t="s">
        <v>24</v>
      </c>
      <c r="B56" s="25">
        <v>678787.15</v>
      </c>
      <c r="C56" s="42">
        <v>697125</v>
      </c>
      <c r="D56" s="42">
        <v>755900</v>
      </c>
      <c r="E56" s="43"/>
      <c r="F56" s="43"/>
      <c r="G56" s="43"/>
    </row>
    <row r="57" spans="1:7" ht="12.75">
      <c r="A57" s="52" t="s">
        <v>25</v>
      </c>
      <c r="B57" s="25">
        <v>4923477.05</v>
      </c>
      <c r="C57" s="42">
        <f>4952125+68401</f>
        <v>5020526</v>
      </c>
      <c r="D57" s="42">
        <v>5551825</v>
      </c>
      <c r="E57" s="43"/>
      <c r="F57" s="43"/>
      <c r="G57" s="43"/>
    </row>
    <row r="58" spans="1:7" ht="12.75">
      <c r="A58" s="52" t="s">
        <v>32</v>
      </c>
      <c r="B58" s="43">
        <f>+B56-B57</f>
        <v>-4244689.899999999</v>
      </c>
      <c r="C58" s="43">
        <f>+C56-C57</f>
        <v>-4323401</v>
      </c>
      <c r="D58" s="43">
        <f>+D56-D57</f>
        <v>-4795925</v>
      </c>
      <c r="E58" s="43"/>
      <c r="F58" s="43"/>
      <c r="G58" s="43"/>
    </row>
    <row r="59" spans="1:7" ht="12.75">
      <c r="A59" s="51" t="s">
        <v>46</v>
      </c>
      <c r="B59" s="43"/>
      <c r="C59" s="43"/>
      <c r="D59" s="43"/>
      <c r="E59" s="43"/>
      <c r="F59" s="43"/>
      <c r="G59" s="43"/>
    </row>
    <row r="60" spans="1:7" ht="12.75">
      <c r="A60" s="52" t="s">
        <v>24</v>
      </c>
      <c r="B60" s="25">
        <v>593382.73</v>
      </c>
      <c r="C60" s="42">
        <v>485980</v>
      </c>
      <c r="D60" s="42">
        <v>489050</v>
      </c>
      <c r="E60" s="43"/>
      <c r="F60" s="43"/>
      <c r="G60" s="43"/>
    </row>
    <row r="61" spans="1:7" ht="12.75">
      <c r="A61" s="52" t="s">
        <v>25</v>
      </c>
      <c r="B61" s="25">
        <v>9303418.38</v>
      </c>
      <c r="C61" s="42">
        <f>9528980+544566</f>
        <v>10073546</v>
      </c>
      <c r="D61" s="42">
        <v>10852805</v>
      </c>
      <c r="E61" s="43"/>
      <c r="F61" s="43"/>
      <c r="G61" s="43"/>
    </row>
    <row r="62" spans="1:7" ht="12.75">
      <c r="A62" s="52" t="s">
        <v>32</v>
      </c>
      <c r="B62" s="43">
        <f>+B60-B61</f>
        <v>-8710035.65</v>
      </c>
      <c r="C62" s="43">
        <f>+C60-C61</f>
        <v>-9587566</v>
      </c>
      <c r="D62" s="43">
        <f>+D60-D61</f>
        <v>-10363755</v>
      </c>
      <c r="E62" s="43"/>
      <c r="F62" s="43"/>
      <c r="G62" s="43"/>
    </row>
    <row r="63" spans="1:7" ht="12.75">
      <c r="A63" s="51" t="s">
        <v>64</v>
      </c>
      <c r="B63" s="43"/>
      <c r="E63" s="43"/>
      <c r="F63" s="43"/>
      <c r="G63" s="43"/>
    </row>
    <row r="64" spans="1:7" ht="12.75">
      <c r="A64" s="52" t="s">
        <v>24</v>
      </c>
      <c r="B64" s="25">
        <f>2554349.25</f>
        <v>2554349.25</v>
      </c>
      <c r="C64" s="42">
        <f>1562300+117000+104300</f>
        <v>1783600</v>
      </c>
      <c r="D64" s="42">
        <v>2157865</v>
      </c>
      <c r="E64" s="43"/>
      <c r="F64" s="43"/>
      <c r="G64" s="43"/>
    </row>
    <row r="65" spans="1:7" ht="12.75">
      <c r="A65" s="52" t="s">
        <v>25</v>
      </c>
      <c r="B65" s="25">
        <v>8255084.62</v>
      </c>
      <c r="C65" s="42">
        <f>5007300+457216+1500000+30761+1061832</f>
        <v>8057109</v>
      </c>
      <c r="D65" s="42">
        <v>8867667</v>
      </c>
      <c r="E65" s="43"/>
      <c r="F65" s="43"/>
      <c r="G65" s="43"/>
    </row>
    <row r="66" spans="1:7" ht="12.75">
      <c r="A66" s="52" t="s">
        <v>32</v>
      </c>
      <c r="B66" s="43">
        <f>+B64-B65</f>
        <v>-5700735.37</v>
      </c>
      <c r="C66" s="43">
        <f>+C64-C65</f>
        <v>-6273509</v>
      </c>
      <c r="D66" s="43">
        <f>+D64-D65</f>
        <v>-6709802</v>
      </c>
      <c r="E66" s="43"/>
      <c r="F66" s="43"/>
      <c r="G66" s="43"/>
    </row>
    <row r="67" spans="5:7" ht="12.75">
      <c r="E67" s="43"/>
      <c r="F67" s="43"/>
      <c r="G67" s="43"/>
    </row>
    <row r="68" spans="5:7" ht="12.75">
      <c r="E68" s="43"/>
      <c r="F68" s="43"/>
      <c r="G68" s="43"/>
    </row>
    <row r="69" spans="5:7" ht="12.75">
      <c r="E69" s="43"/>
      <c r="F69" s="43"/>
      <c r="G69" s="43"/>
    </row>
    <row r="70" spans="5:7" ht="12.75">
      <c r="E70" s="43"/>
      <c r="F70" s="43"/>
      <c r="G70" s="43"/>
    </row>
    <row r="71" spans="5:7" ht="12.75">
      <c r="E71" s="43"/>
      <c r="F71" s="43"/>
      <c r="G71" s="43"/>
    </row>
    <row r="72" spans="5:7" ht="12.75">
      <c r="E72" s="43"/>
      <c r="F72" s="43"/>
      <c r="G72" s="43"/>
    </row>
    <row r="73" spans="5:7" ht="12.75">
      <c r="E73" s="43"/>
      <c r="F73" s="43"/>
      <c r="G73" s="43"/>
    </row>
    <row r="74" spans="5:7" ht="12.75">
      <c r="E74" s="43"/>
      <c r="F74" s="43"/>
      <c r="G74" s="43"/>
    </row>
    <row r="75" spans="5:7" ht="12.75">
      <c r="E75" s="43"/>
      <c r="F75" s="43"/>
      <c r="G75" s="43"/>
    </row>
    <row r="76" spans="5:7" ht="12.75">
      <c r="E76" s="43"/>
      <c r="F76" s="43"/>
      <c r="G76" s="43"/>
    </row>
    <row r="77" spans="5:7" ht="12.75">
      <c r="E77" s="43"/>
      <c r="F77" s="43"/>
      <c r="G77" s="43"/>
    </row>
    <row r="78" spans="5:7" ht="12.75">
      <c r="E78" s="43"/>
      <c r="F78" s="43"/>
      <c r="G78" s="43"/>
    </row>
  </sheetData>
  <sheetProtection sheet="1" objects="1" scenarios="1"/>
  <printOptions/>
  <pageMargins left="0.5905511811023623" right="0.5905511811023623" top="0.7874015748031497" bottom="0.7874015748031497" header="0.31496062992125984" footer="0.31496062992125984"/>
  <pageSetup firstPageNumber="2" useFirstPageNumber="1" horizontalDpi="600" verticalDpi="600" orientation="portrait" paperSize="9" r:id="rId1"/>
  <headerFooter alignWithMargins="0">
    <oddFooter>&amp;L&amp;F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31"/>
  <dimension ref="A1:G48"/>
  <sheetViews>
    <sheetView workbookViewId="0" topLeftCell="A1">
      <selection activeCell="G13" sqref="G13"/>
    </sheetView>
  </sheetViews>
  <sheetFormatPr defaultColWidth="9.140625" defaultRowHeight="12.75"/>
  <cols>
    <col min="1" max="1" width="27.421875" style="3" customWidth="1"/>
    <col min="2" max="3" width="11.140625" style="3" bestFit="1" customWidth="1"/>
    <col min="4" max="4" width="12.140625" style="3" bestFit="1" customWidth="1"/>
    <col min="5" max="5" width="12.7109375" style="3" bestFit="1" customWidth="1"/>
    <col min="6" max="7" width="9.28125" style="3" bestFit="1" customWidth="1"/>
    <col min="8" max="16384" width="9.140625" style="3" customWidth="1"/>
  </cols>
  <sheetData>
    <row r="1" spans="2:7" s="5" customFormat="1" ht="51">
      <c r="B1" s="6" t="str">
        <f>"TP "&amp;ots!$A$1-2&amp;"
(€)"</f>
        <v>TP 2007
(€)</v>
      </c>
      <c r="C1" s="6" t="str">
        <f>"TA "&amp;ots!$A$1-1&amp;"
(€)"</f>
        <v>TA 2008
(€)</v>
      </c>
      <c r="D1" s="6" t="str">
        <f>"TA 2009
(€)"</f>
        <v>TA 2009
(€)</v>
      </c>
      <c r="E1" s="6" t="str">
        <f>"Talousarvio-
ehdotus
"&amp;ots!$A$1&amp;"
(€)"</f>
        <v>Talousarvio-
ehdotus
2009
(€)</v>
      </c>
      <c r="F1" s="6" t="str">
        <f>"TS "&amp;ots!$A$1+1&amp;"
(1.000 €)"</f>
        <v>TS 2010
(1.000 €)</v>
      </c>
      <c r="G1" s="6" t="str">
        <f>"TS "&amp;ots!$A$1+2&amp;"
(1.000 €)"</f>
        <v>TS 2011
(1.000 €)</v>
      </c>
    </row>
    <row r="2" s="8" customFormat="1" ht="12.75">
      <c r="A2" s="7" t="s">
        <v>47</v>
      </c>
    </row>
    <row r="3" s="8" customFormat="1" ht="12.75">
      <c r="A3" s="7" t="s">
        <v>60</v>
      </c>
    </row>
    <row r="4" spans="1:7" s="10" customFormat="1" ht="27" customHeight="1">
      <c r="A4" s="9" t="s">
        <v>41</v>
      </c>
      <c r="B4" s="5">
        <f aca="true" t="shared" si="0" ref="B4:G4">+B8</f>
        <v>856318.08</v>
      </c>
      <c r="C4" s="5">
        <f t="shared" si="0"/>
        <v>1079980</v>
      </c>
      <c r="D4" s="5">
        <f t="shared" si="0"/>
        <v>400000</v>
      </c>
      <c r="E4" s="5">
        <f t="shared" si="0"/>
        <v>400000</v>
      </c>
      <c r="F4" s="5">
        <f t="shared" si="0"/>
        <v>465</v>
      </c>
      <c r="G4" s="5">
        <f t="shared" si="0"/>
        <v>350</v>
      </c>
    </row>
    <row r="5" spans="1:7" s="10" customFormat="1" ht="12.75">
      <c r="A5" s="9" t="s">
        <v>42</v>
      </c>
      <c r="B5" s="5">
        <f aca="true" t="shared" si="1" ref="B5:G5">+B20+B21</f>
        <v>0</v>
      </c>
      <c r="C5" s="5">
        <f t="shared" si="1"/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</row>
    <row r="6" spans="1:7" s="10" customFormat="1" ht="12.75">
      <c r="A6" s="9" t="s">
        <v>43</v>
      </c>
      <c r="B6" s="5">
        <f aca="true" t="shared" si="2" ref="B6:G6">B5-B4</f>
        <v>-856318.08</v>
      </c>
      <c r="C6" s="5">
        <f t="shared" si="2"/>
        <v>-1079980</v>
      </c>
      <c r="D6" s="5">
        <f t="shared" si="2"/>
        <v>-400000</v>
      </c>
      <c r="E6" s="5">
        <f t="shared" si="2"/>
        <v>-400000</v>
      </c>
      <c r="F6" s="5">
        <f t="shared" si="2"/>
        <v>-465</v>
      </c>
      <c r="G6" s="5">
        <f t="shared" si="2"/>
        <v>-350</v>
      </c>
    </row>
    <row r="7" spans="1:7" s="2" customFormat="1" ht="21" customHeight="1">
      <c r="A7" s="11" t="s">
        <v>34</v>
      </c>
      <c r="B7" s="4"/>
      <c r="C7" s="4"/>
      <c r="D7" s="4"/>
      <c r="E7" s="4"/>
      <c r="F7" s="4"/>
      <c r="G7" s="4"/>
    </row>
    <row r="8" spans="1:7" s="2" customFormat="1" ht="12.75">
      <c r="A8" s="11" t="s">
        <v>59</v>
      </c>
      <c r="B8" s="4">
        <f aca="true" t="shared" si="3" ref="B8:G8">SUM(B9:B18)</f>
        <v>856318.08</v>
      </c>
      <c r="C8" s="4">
        <f t="shared" si="3"/>
        <v>1079980</v>
      </c>
      <c r="D8" s="4">
        <f t="shared" si="3"/>
        <v>400000</v>
      </c>
      <c r="E8" s="4">
        <f t="shared" si="3"/>
        <v>400000</v>
      </c>
      <c r="F8" s="4">
        <f t="shared" si="3"/>
        <v>465</v>
      </c>
      <c r="G8" s="4">
        <f t="shared" si="3"/>
        <v>350</v>
      </c>
    </row>
    <row r="9" s="2" customFormat="1" ht="12.75">
      <c r="A9" s="11" t="s">
        <v>49</v>
      </c>
    </row>
    <row r="10" s="2" customFormat="1" ht="12.75">
      <c r="A10" s="11" t="s">
        <v>50</v>
      </c>
    </row>
    <row r="11" spans="1:2" s="2" customFormat="1" ht="12.75">
      <c r="A11" s="11" t="s">
        <v>51</v>
      </c>
      <c r="B11" s="2">
        <v>86400</v>
      </c>
    </row>
    <row r="12" spans="1:7" s="2" customFormat="1" ht="12.75">
      <c r="A12" s="11" t="s">
        <v>52</v>
      </c>
      <c r="B12" s="2">
        <v>514066.1</v>
      </c>
      <c r="C12" s="2">
        <v>1079980</v>
      </c>
      <c r="D12" s="2">
        <v>400000</v>
      </c>
      <c r="E12" s="2">
        <v>400000</v>
      </c>
      <c r="F12" s="2">
        <v>465</v>
      </c>
      <c r="G12" s="2">
        <v>350</v>
      </c>
    </row>
    <row r="13" s="2" customFormat="1" ht="12.75">
      <c r="A13" s="11" t="s">
        <v>53</v>
      </c>
    </row>
    <row r="14" s="2" customFormat="1" ht="12.75">
      <c r="A14" s="11" t="s">
        <v>54</v>
      </c>
    </row>
    <row r="15" s="2" customFormat="1" ht="12.75">
      <c r="A15" s="11" t="s">
        <v>55</v>
      </c>
    </row>
    <row r="16" spans="1:2" s="2" customFormat="1" ht="12.75">
      <c r="A16" s="11" t="s">
        <v>56</v>
      </c>
      <c r="B16" s="2">
        <v>165751.98</v>
      </c>
    </row>
    <row r="17" spans="1:2" s="2" customFormat="1" ht="12.75">
      <c r="A17" s="11" t="s">
        <v>57</v>
      </c>
      <c r="B17" s="2">
        <v>90100</v>
      </c>
    </row>
    <row r="18" s="2" customFormat="1" ht="12.75">
      <c r="A18" s="11" t="s">
        <v>58</v>
      </c>
    </row>
    <row r="19" spans="1:7" s="2" customFormat="1" ht="25.5" customHeight="1">
      <c r="A19" s="11" t="s">
        <v>35</v>
      </c>
      <c r="B19" s="4"/>
      <c r="C19" s="4"/>
      <c r="D19" s="4"/>
      <c r="E19" s="13"/>
      <c r="F19" s="4"/>
      <c r="G19" s="4"/>
    </row>
    <row r="20" spans="1:7" s="2" customFormat="1" ht="25.5">
      <c r="A20" s="1" t="s">
        <v>44</v>
      </c>
      <c r="B20" s="2">
        <v>0</v>
      </c>
      <c r="C20" s="2">
        <v>0</v>
      </c>
      <c r="D20" s="2">
        <v>0</v>
      </c>
      <c r="E20" s="12">
        <v>0</v>
      </c>
      <c r="F20" s="2">
        <v>0</v>
      </c>
      <c r="G20" s="2">
        <v>0</v>
      </c>
    </row>
    <row r="21" spans="1:7" s="2" customFormat="1" ht="25.5">
      <c r="A21" s="1" t="s">
        <v>61</v>
      </c>
      <c r="B21" s="2">
        <v>0</v>
      </c>
      <c r="C21" s="2">
        <v>0</v>
      </c>
      <c r="D21" s="2">
        <v>0</v>
      </c>
      <c r="E21" s="12">
        <v>0</v>
      </c>
      <c r="F21" s="2">
        <v>0</v>
      </c>
      <c r="G21" s="2">
        <v>0</v>
      </c>
    </row>
    <row r="22" spans="1:7" s="2" customFormat="1" ht="38.25">
      <c r="A22" s="14" t="s">
        <v>48</v>
      </c>
      <c r="B22" s="2">
        <v>0</v>
      </c>
      <c r="C22" s="2">
        <v>0</v>
      </c>
      <c r="D22" s="2">
        <v>0</v>
      </c>
      <c r="E22" s="12">
        <v>0</v>
      </c>
      <c r="F22" s="2">
        <v>0</v>
      </c>
      <c r="G22" s="2">
        <v>0</v>
      </c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2:7" ht="12.75">
      <c r="B40" s="4"/>
      <c r="C40" s="4"/>
      <c r="D40" s="4"/>
      <c r="E40" s="4"/>
      <c r="F40" s="4"/>
      <c r="G40" s="4"/>
    </row>
    <row r="41" spans="2:7" ht="12.75">
      <c r="B41" s="4"/>
      <c r="C41" s="4"/>
      <c r="D41" s="4"/>
      <c r="E41" s="4"/>
      <c r="F41" s="4"/>
      <c r="G41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spans="2:7" ht="12.75">
      <c r="B46" s="4"/>
      <c r="C46" s="4"/>
      <c r="D46" s="4"/>
      <c r="E46" s="4"/>
      <c r="F46" s="4"/>
      <c r="G46" s="4"/>
    </row>
    <row r="47" spans="2:7" ht="12.75">
      <c r="B47" s="4"/>
      <c r="C47" s="4"/>
      <c r="D47" s="4"/>
      <c r="E47" s="4"/>
      <c r="F47" s="4"/>
      <c r="G47" s="4"/>
    </row>
    <row r="48" spans="2:7" ht="12.75">
      <c r="B48" s="4"/>
      <c r="C48" s="4"/>
      <c r="D48" s="4"/>
      <c r="E48" s="4"/>
      <c r="F48" s="4"/>
      <c r="G48" s="4"/>
    </row>
  </sheetData>
  <sheetProtection sheet="1" objects="1" scenarios="1"/>
  <printOptions gridLines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2009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Talousarvioehdotus 2002 - lyhyt pohja</dc:title>
  <dc:subject>TA-kirjaan siirtyvä osa</dc:subject>
  <dc:creator>Suuno</dc:creator>
  <cp:keywords/>
  <dc:description/>
  <cp:lastModifiedBy>mhoysti</cp:lastModifiedBy>
  <cp:lastPrinted>2008-12-12T13:05:17Z</cp:lastPrinted>
  <dcterms:created xsi:type="dcterms:W3CDTF">1999-04-09T08:04:14Z</dcterms:created>
  <dcterms:modified xsi:type="dcterms:W3CDTF">2008-12-12T13:08:18Z</dcterms:modified>
  <cp:category/>
  <cp:version/>
  <cp:contentType/>
  <cp:contentStatus/>
</cp:coreProperties>
</file>