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ämäTyökirja" defaultThemeVersion="124226"/>
  <bookViews>
    <workbookView xWindow="-180" yWindow="7020" windowWidth="20370" windowHeight="7260" tabRatio="756"/>
  </bookViews>
  <sheets>
    <sheet name="VAPELK" sheetId="62" r:id="rId1"/>
    <sheet name="VAL YHT" sheetId="61" r:id="rId2"/>
    <sheet name="VAKAOP" sheetId="60" r:id="rId3"/>
    <sheet name="VAVARKPA" sheetId="59" r:id="rId4"/>
    <sheet name="VAPERUSO" sheetId="65" r:id="rId5"/>
    <sheet name="VARUKAOP " sheetId="66" r:id="rId6"/>
    <sheet name="LALUKIOT" sheetId="67" r:id="rId7"/>
    <sheet name="LAMMATIT " sheetId="68" r:id="rId8"/>
    <sheet name="LAIKUIS" sheetId="58" r:id="rId9"/>
    <sheet name="INVESTOINTIOSA " sheetId="63" r:id="rId10"/>
  </sheets>
  <definedNames>
    <definedName name="EV__EVCOM_OPTIONS__" hidden="1">8</definedName>
    <definedName name="EV__EXPOPTIONS__" hidden="1">1</definedName>
    <definedName name="EV__LASTREFTIME__" hidden="1">"(GMT+02:00)18.8.2014 13:26:41"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134217780</definedName>
    <definedName name="EV__WBVERSION__" hidden="1">0</definedName>
    <definedName name="MEWarning" hidden="1">1</definedName>
    <definedName name="_xlnm.Print_Area" localSheetId="9">'INVESTOINTIOSA '!$A$1:$I$31</definedName>
  </definedNames>
  <calcPr calcId="145621"/>
</workbook>
</file>

<file path=xl/calcChain.xml><?xml version="1.0" encoding="utf-8"?>
<calcChain xmlns="http://schemas.openxmlformats.org/spreadsheetml/2006/main">
  <c r="N28" i="62" l="1"/>
  <c r="M28" i="62"/>
  <c r="L28" i="62"/>
  <c r="N25" i="62"/>
  <c r="M25" i="62"/>
  <c r="L25" i="62"/>
  <c r="M22" i="62"/>
  <c r="N22" i="62"/>
  <c r="L22" i="62"/>
  <c r="M14" i="62"/>
  <c r="N14" i="62"/>
  <c r="L14" i="62"/>
  <c r="M57" i="62"/>
  <c r="N57" i="62"/>
  <c r="L57" i="62"/>
  <c r="M52" i="62"/>
  <c r="N52" i="62"/>
  <c r="L52" i="62"/>
  <c r="M48" i="62"/>
  <c r="N48" i="62"/>
  <c r="L48" i="62"/>
  <c r="M44" i="62"/>
  <c r="N44" i="62"/>
  <c r="L44" i="62"/>
  <c r="K59" i="58" l="1"/>
  <c r="J59" i="58"/>
  <c r="K58" i="58"/>
  <c r="J58" i="58"/>
  <c r="J54" i="58"/>
  <c r="K53" i="58"/>
  <c r="J53" i="58"/>
  <c r="K49" i="58"/>
  <c r="J49" i="58"/>
  <c r="K46" i="58"/>
  <c r="J46" i="58"/>
  <c r="K41" i="58"/>
  <c r="J41" i="58"/>
  <c r="K40" i="58"/>
  <c r="J40" i="58"/>
  <c r="K39" i="58"/>
  <c r="J39" i="58"/>
  <c r="K29" i="58"/>
  <c r="K26" i="58"/>
  <c r="J26" i="58"/>
  <c r="K23" i="58"/>
  <c r="J23" i="58"/>
  <c r="K18" i="58"/>
  <c r="J18" i="58"/>
  <c r="K12" i="58"/>
  <c r="J12" i="58"/>
  <c r="K11" i="58"/>
  <c r="J11" i="58"/>
  <c r="K9" i="58"/>
  <c r="J9" i="58"/>
  <c r="K59" i="68"/>
  <c r="J59" i="68"/>
  <c r="K58" i="68"/>
  <c r="J58" i="68"/>
  <c r="K53" i="68"/>
  <c r="J53" i="68"/>
  <c r="K49" i="68"/>
  <c r="J49" i="68"/>
  <c r="K46" i="68"/>
  <c r="J46" i="68"/>
  <c r="K42" i="68"/>
  <c r="J42" i="68"/>
  <c r="K41" i="68"/>
  <c r="J41" i="68"/>
  <c r="K40" i="68"/>
  <c r="J40" i="68"/>
  <c r="K39" i="68"/>
  <c r="J39" i="68"/>
  <c r="K29" i="68"/>
  <c r="J29" i="68"/>
  <c r="K26" i="68"/>
  <c r="J26" i="68"/>
  <c r="K23" i="68"/>
  <c r="J23" i="68"/>
  <c r="K20" i="68"/>
  <c r="J20" i="68"/>
  <c r="J18" i="68"/>
  <c r="K12" i="68"/>
  <c r="J12" i="68"/>
  <c r="K9" i="68"/>
  <c r="J9" i="68"/>
  <c r="K59" i="67"/>
  <c r="J59" i="67"/>
  <c r="K58" i="67"/>
  <c r="J58" i="67"/>
  <c r="K53" i="67"/>
  <c r="K49" i="67"/>
  <c r="J49" i="67"/>
  <c r="K46" i="67"/>
  <c r="J46" i="67"/>
  <c r="K42" i="67"/>
  <c r="J42" i="67"/>
  <c r="K41" i="67"/>
  <c r="J41" i="67"/>
  <c r="K40" i="67"/>
  <c r="J40" i="67"/>
  <c r="K39" i="67"/>
  <c r="J39" i="67"/>
  <c r="K29" i="67"/>
  <c r="K26" i="67"/>
  <c r="J26" i="67"/>
  <c r="K23" i="67"/>
  <c r="J23" i="67"/>
  <c r="K18" i="67"/>
  <c r="J18" i="67"/>
  <c r="K12" i="67"/>
  <c r="K11" i="67"/>
  <c r="J11" i="67"/>
  <c r="K9" i="67"/>
  <c r="J9" i="67"/>
  <c r="K59" i="66"/>
  <c r="J59" i="66"/>
  <c r="K58" i="66"/>
  <c r="J58" i="66"/>
  <c r="K49" i="66"/>
  <c r="J49" i="66"/>
  <c r="K46" i="66"/>
  <c r="J46" i="66"/>
  <c r="K42" i="66"/>
  <c r="J42" i="66"/>
  <c r="K41" i="66"/>
  <c r="J41" i="66"/>
  <c r="K40" i="66"/>
  <c r="J40" i="66"/>
  <c r="K39" i="66"/>
  <c r="J39" i="66"/>
  <c r="K29" i="66"/>
  <c r="K26" i="66"/>
  <c r="J26" i="66"/>
  <c r="K23" i="66"/>
  <c r="J23" i="66"/>
  <c r="K18" i="66"/>
  <c r="J18" i="66"/>
  <c r="K17" i="66"/>
  <c r="J17" i="66"/>
  <c r="K12" i="66"/>
  <c r="J12" i="66"/>
  <c r="K11" i="66"/>
  <c r="J11" i="66"/>
  <c r="K9" i="66"/>
  <c r="J9" i="66"/>
  <c r="K59" i="65"/>
  <c r="J59" i="65"/>
  <c r="K58" i="65"/>
  <c r="J58" i="65"/>
  <c r="K54" i="65"/>
  <c r="J54" i="65"/>
  <c r="K53" i="65"/>
  <c r="K49" i="65"/>
  <c r="J49" i="65"/>
  <c r="K46" i="65"/>
  <c r="J46" i="65"/>
  <c r="K45" i="65"/>
  <c r="J45" i="65"/>
  <c r="K42" i="65"/>
  <c r="J42" i="65"/>
  <c r="K41" i="65"/>
  <c r="J41" i="65"/>
  <c r="K40" i="65"/>
  <c r="J40" i="65"/>
  <c r="K39" i="65"/>
  <c r="J39" i="65"/>
  <c r="K29" i="65"/>
  <c r="K26" i="65"/>
  <c r="J26" i="65"/>
  <c r="K23" i="65"/>
  <c r="J23" i="65"/>
  <c r="K20" i="65"/>
  <c r="K18" i="65"/>
  <c r="J18" i="65"/>
  <c r="K17" i="65"/>
  <c r="J17" i="65"/>
  <c r="K12" i="65"/>
  <c r="J12" i="65"/>
  <c r="K11" i="65"/>
  <c r="J11" i="65"/>
  <c r="K9" i="65"/>
  <c r="J9" i="65"/>
  <c r="K54" i="59"/>
  <c r="J54" i="59"/>
  <c r="K17" i="59"/>
  <c r="K18" i="59"/>
  <c r="J17" i="59"/>
  <c r="J18" i="59"/>
  <c r="K10" i="59"/>
  <c r="K12" i="59"/>
  <c r="J10" i="59"/>
  <c r="J12" i="59"/>
  <c r="K59" i="59"/>
  <c r="J59" i="59"/>
  <c r="K58" i="59"/>
  <c r="J58" i="59"/>
  <c r="K53" i="59"/>
  <c r="J53" i="59"/>
  <c r="K49" i="59"/>
  <c r="J49" i="59"/>
  <c r="K46" i="59"/>
  <c r="J46" i="59"/>
  <c r="K42" i="59"/>
  <c r="J42" i="59"/>
  <c r="K41" i="59"/>
  <c r="J41" i="59"/>
  <c r="K40" i="59"/>
  <c r="J40" i="59"/>
  <c r="K39" i="59"/>
  <c r="J39" i="59"/>
  <c r="K29" i="59"/>
  <c r="K26" i="59"/>
  <c r="K9" i="59"/>
  <c r="J9" i="59"/>
  <c r="J41" i="61"/>
  <c r="K40" i="61"/>
  <c r="J40" i="61"/>
  <c r="J39" i="61"/>
  <c r="J63" i="60"/>
  <c r="K63" i="60"/>
  <c r="G8" i="60"/>
  <c r="K8" i="60" s="1"/>
  <c r="G14" i="60"/>
  <c r="G22" i="60"/>
  <c r="G25" i="60"/>
  <c r="G28" i="60"/>
  <c r="G33" i="60"/>
  <c r="G38" i="60"/>
  <c r="G44" i="60"/>
  <c r="G48" i="60"/>
  <c r="G52" i="60"/>
  <c r="G61" i="60" s="1"/>
  <c r="G57" i="60"/>
  <c r="I8" i="60"/>
  <c r="I14" i="60"/>
  <c r="J14" i="60" s="1"/>
  <c r="I22" i="60"/>
  <c r="I25" i="60"/>
  <c r="I28" i="60"/>
  <c r="J28" i="60" s="1"/>
  <c r="I33" i="60"/>
  <c r="I38" i="60"/>
  <c r="I39" i="60"/>
  <c r="I40" i="60"/>
  <c r="K40" i="60" s="1"/>
  <c r="I41" i="60"/>
  <c r="I44" i="60"/>
  <c r="I48" i="60"/>
  <c r="I52" i="60"/>
  <c r="J52" i="60" s="1"/>
  <c r="I57" i="60"/>
  <c r="I61" i="60" s="1"/>
  <c r="J61" i="60" s="1"/>
  <c r="J59" i="60"/>
  <c r="J49" i="60"/>
  <c r="J48" i="60"/>
  <c r="J42" i="60"/>
  <c r="K39" i="60"/>
  <c r="J22" i="60"/>
  <c r="J8" i="60"/>
  <c r="K59" i="60"/>
  <c r="K49" i="60"/>
  <c r="K46" i="60"/>
  <c r="J46" i="60"/>
  <c r="K41" i="60"/>
  <c r="J41" i="60"/>
  <c r="J40" i="60"/>
  <c r="J39" i="60"/>
  <c r="J38" i="60"/>
  <c r="K26" i="60"/>
  <c r="J26" i="60"/>
  <c r="J25" i="60"/>
  <c r="J23" i="60"/>
  <c r="J18" i="60"/>
  <c r="K12" i="60"/>
  <c r="K9" i="60"/>
  <c r="J9" i="60"/>
  <c r="J57" i="60" l="1"/>
  <c r="I31" i="60"/>
  <c r="I63" i="60" s="1"/>
  <c r="K61" i="60"/>
  <c r="G31" i="60"/>
  <c r="G63" i="60" s="1"/>
  <c r="K44" i="60"/>
  <c r="K25" i="60"/>
  <c r="J44" i="60"/>
  <c r="K22" i="60"/>
  <c r="K38" i="60"/>
  <c r="K48" i="60"/>
  <c r="J31" i="60"/>
  <c r="J53" i="60"/>
  <c r="J58" i="60"/>
  <c r="K18" i="60"/>
  <c r="K52" i="60"/>
  <c r="J29" i="60"/>
  <c r="K28" i="60"/>
  <c r="K42" i="60"/>
  <c r="K31" i="60"/>
  <c r="K14" i="60"/>
  <c r="K57" i="60"/>
  <c r="K23" i="60"/>
  <c r="K29" i="60"/>
  <c r="K58" i="60"/>
  <c r="K53" i="60"/>
  <c r="M27" i="63"/>
  <c r="M10" i="63"/>
  <c r="M8" i="63" s="1"/>
  <c r="L27" i="63"/>
  <c r="L10" i="63"/>
  <c r="L8" i="63"/>
  <c r="K27" i="63"/>
  <c r="K10" i="63"/>
  <c r="K8" i="63"/>
  <c r="L66" i="62"/>
  <c r="I66" i="62"/>
  <c r="M66" i="62"/>
  <c r="M65" i="62" s="1"/>
  <c r="L65" i="62" l="1"/>
  <c r="L67" i="62"/>
  <c r="M67" i="62"/>
  <c r="N66" i="62" l="1"/>
  <c r="N67" i="62" l="1"/>
  <c r="N65" i="62"/>
  <c r="I23" i="68"/>
  <c r="I9" i="68"/>
  <c r="I58" i="68" l="1"/>
  <c r="I8" i="68"/>
  <c r="J8" i="68" s="1"/>
  <c r="I29" i="68"/>
  <c r="I28" i="68" s="1"/>
  <c r="J28" i="68" s="1"/>
  <c r="I57" i="68"/>
  <c r="J57" i="68" s="1"/>
  <c r="I52" i="68"/>
  <c r="J52" i="68" s="1"/>
  <c r="I48" i="68"/>
  <c r="J48" i="68" s="1"/>
  <c r="I44" i="68"/>
  <c r="J44" i="68" s="1"/>
  <c r="I33" i="68"/>
  <c r="I25" i="68"/>
  <c r="J25" i="68" s="1"/>
  <c r="I22" i="68"/>
  <c r="J22" i="68" s="1"/>
  <c r="I14" i="68"/>
  <c r="J14" i="68" s="1"/>
  <c r="I38" i="68" l="1"/>
  <c r="I31" i="68"/>
  <c r="J31" i="68" s="1"/>
  <c r="I61" i="68" l="1"/>
  <c r="J61" i="68" s="1"/>
  <c r="J38" i="68"/>
  <c r="I63" i="68"/>
  <c r="J63" i="68" s="1"/>
  <c r="J27" i="63" l="1"/>
  <c r="J10" i="63"/>
  <c r="J8" i="63"/>
  <c r="I59" i="62"/>
  <c r="I58" i="62"/>
  <c r="I54" i="62"/>
  <c r="I55" i="62"/>
  <c r="I53" i="62"/>
  <c r="I50" i="62"/>
  <c r="I49" i="62"/>
  <c r="I46" i="62"/>
  <c r="I45" i="62"/>
  <c r="I40" i="62"/>
  <c r="I41" i="62"/>
  <c r="I42" i="62"/>
  <c r="I39" i="62"/>
  <c r="I34" i="62"/>
  <c r="I29" i="62"/>
  <c r="I26" i="62"/>
  <c r="I23" i="62"/>
  <c r="I16" i="62"/>
  <c r="I17" i="62"/>
  <c r="I18" i="62"/>
  <c r="I19" i="62"/>
  <c r="I20" i="62"/>
  <c r="I15" i="62"/>
  <c r="I10" i="62"/>
  <c r="I11" i="62"/>
  <c r="I12" i="62"/>
  <c r="I9" i="62"/>
  <c r="F29" i="68"/>
  <c r="H29" i="68"/>
  <c r="H28" i="68" s="1"/>
  <c r="F29" i="60"/>
  <c r="H29" i="60" s="1"/>
  <c r="H28" i="60" s="1"/>
  <c r="F29" i="61"/>
  <c r="H29" i="61"/>
  <c r="H28" i="61" s="1"/>
  <c r="F29" i="65"/>
  <c r="H29" i="65" s="1"/>
  <c r="F29" i="66"/>
  <c r="H29" i="66"/>
  <c r="H28" i="66" s="1"/>
  <c r="F29" i="59"/>
  <c r="H29" i="59"/>
  <c r="H28" i="59" s="1"/>
  <c r="F29" i="58"/>
  <c r="H29" i="58" s="1"/>
  <c r="F29" i="67"/>
  <c r="F28" i="67" s="1"/>
  <c r="H29" i="67"/>
  <c r="H28" i="67" s="1"/>
  <c r="F23" i="58"/>
  <c r="H23" i="58" s="1"/>
  <c r="F15" i="58"/>
  <c r="H15" i="58" s="1"/>
  <c r="F16" i="58"/>
  <c r="H16" i="58"/>
  <c r="F17" i="58"/>
  <c r="H17" i="58" s="1"/>
  <c r="F18" i="58"/>
  <c r="H18" i="58" s="1"/>
  <c r="F19" i="58"/>
  <c r="H19" i="58" s="1"/>
  <c r="F20" i="58"/>
  <c r="H20" i="58" s="1"/>
  <c r="F58" i="58"/>
  <c r="H58" i="58"/>
  <c r="F59" i="58"/>
  <c r="H59" i="58" s="1"/>
  <c r="F49" i="58"/>
  <c r="H49" i="58" s="1"/>
  <c r="F50" i="58"/>
  <c r="H50" i="58" s="1"/>
  <c r="F45" i="58"/>
  <c r="H45" i="58" s="1"/>
  <c r="F46" i="58"/>
  <c r="H46" i="58" s="1"/>
  <c r="F53" i="68"/>
  <c r="H53" i="68"/>
  <c r="F54" i="68"/>
  <c r="H54" i="68" s="1"/>
  <c r="F55" i="68"/>
  <c r="H55" i="68"/>
  <c r="F53" i="67"/>
  <c r="H53" i="67" s="1"/>
  <c r="F54" i="67"/>
  <c r="H54" i="67" s="1"/>
  <c r="F55" i="67"/>
  <c r="H55" i="67" s="1"/>
  <c r="F53" i="61"/>
  <c r="H53" i="61" s="1"/>
  <c r="F54" i="61"/>
  <c r="H54" i="61" s="1"/>
  <c r="F55" i="61"/>
  <c r="F45" i="61"/>
  <c r="H45" i="61"/>
  <c r="H44" i="61" s="1"/>
  <c r="F46" i="61"/>
  <c r="H46" i="61"/>
  <c r="I57" i="58"/>
  <c r="J57" i="58" s="1"/>
  <c r="I52" i="58"/>
  <c r="J52" i="58" s="1"/>
  <c r="I48" i="58"/>
  <c r="J48" i="58" s="1"/>
  <c r="I44" i="58"/>
  <c r="J44" i="58" s="1"/>
  <c r="I38" i="58"/>
  <c r="J38" i="58" s="1"/>
  <c r="I33" i="58"/>
  <c r="I28" i="58"/>
  <c r="I25" i="58"/>
  <c r="J25" i="58" s="1"/>
  <c r="I22" i="58"/>
  <c r="J22" i="58" s="1"/>
  <c r="I14" i="58"/>
  <c r="J14" i="58" s="1"/>
  <c r="I8" i="58"/>
  <c r="J8" i="58" s="1"/>
  <c r="I57" i="67"/>
  <c r="J57" i="67" s="1"/>
  <c r="I52" i="67"/>
  <c r="I48" i="67"/>
  <c r="J48" i="67" s="1"/>
  <c r="I44" i="67"/>
  <c r="J44" i="67" s="1"/>
  <c r="I38" i="67"/>
  <c r="J38" i="67" s="1"/>
  <c r="I33" i="67"/>
  <c r="I28" i="67"/>
  <c r="I25" i="67"/>
  <c r="J25" i="67" s="1"/>
  <c r="I22" i="67"/>
  <c r="J22" i="67" s="1"/>
  <c r="I14" i="67"/>
  <c r="J14" i="67" s="1"/>
  <c r="I8" i="67"/>
  <c r="J8" i="67" s="1"/>
  <c r="I57" i="66"/>
  <c r="J57" i="66" s="1"/>
  <c r="I52" i="66"/>
  <c r="I48" i="66"/>
  <c r="J48" i="66" s="1"/>
  <c r="I44" i="66"/>
  <c r="J44" i="66" s="1"/>
  <c r="I38" i="66"/>
  <c r="J38" i="66" s="1"/>
  <c r="I33" i="66"/>
  <c r="I28" i="66"/>
  <c r="I25" i="66"/>
  <c r="J25" i="66" s="1"/>
  <c r="I22" i="66"/>
  <c r="J22" i="66" s="1"/>
  <c r="I14" i="66"/>
  <c r="J14" i="66" s="1"/>
  <c r="I8" i="66"/>
  <c r="J8" i="66" s="1"/>
  <c r="I57" i="65"/>
  <c r="J57" i="65" s="1"/>
  <c r="I52" i="65"/>
  <c r="J52" i="65" s="1"/>
  <c r="I48" i="65"/>
  <c r="J48" i="65" s="1"/>
  <c r="I44" i="65"/>
  <c r="J44" i="65" s="1"/>
  <c r="I38" i="65"/>
  <c r="J38" i="65" s="1"/>
  <c r="I33" i="65"/>
  <c r="I28" i="65"/>
  <c r="I25" i="65"/>
  <c r="J25" i="65" s="1"/>
  <c r="I22" i="65"/>
  <c r="J22" i="65" s="1"/>
  <c r="I14" i="65"/>
  <c r="J14" i="65" s="1"/>
  <c r="I8" i="65"/>
  <c r="J8" i="65" s="1"/>
  <c r="I57" i="59"/>
  <c r="J57" i="59" s="1"/>
  <c r="I52" i="59"/>
  <c r="J52" i="59" s="1"/>
  <c r="I48" i="59"/>
  <c r="J48" i="59" s="1"/>
  <c r="I44" i="59"/>
  <c r="J44" i="59" s="1"/>
  <c r="I38" i="59"/>
  <c r="J38" i="59" s="1"/>
  <c r="I33" i="59"/>
  <c r="I28" i="59"/>
  <c r="I25" i="59"/>
  <c r="I22" i="59"/>
  <c r="I31" i="59" s="1"/>
  <c r="J31" i="59" s="1"/>
  <c r="I14" i="59"/>
  <c r="J14" i="59" s="1"/>
  <c r="I8" i="59"/>
  <c r="J8" i="59" s="1"/>
  <c r="I57" i="61"/>
  <c r="I61" i="61" s="1"/>
  <c r="J61" i="61" s="1"/>
  <c r="I52" i="61"/>
  <c r="I48" i="61"/>
  <c r="I44" i="61"/>
  <c r="I38" i="61"/>
  <c r="J38" i="61" s="1"/>
  <c r="I33" i="61"/>
  <c r="I28" i="61"/>
  <c r="I25" i="61"/>
  <c r="I22" i="61"/>
  <c r="I31" i="61" s="1"/>
  <c r="I63" i="61" s="1"/>
  <c r="J63" i="61" s="1"/>
  <c r="I14" i="61"/>
  <c r="I8" i="61"/>
  <c r="G40" i="61"/>
  <c r="G38" i="61" s="1"/>
  <c r="C28" i="60"/>
  <c r="C25" i="60"/>
  <c r="C31" i="60" s="1"/>
  <c r="C63" i="60" s="1"/>
  <c r="C22" i="60"/>
  <c r="C14" i="60"/>
  <c r="C8" i="60"/>
  <c r="C33" i="60"/>
  <c r="C57" i="60"/>
  <c r="C61" i="60" s="1"/>
  <c r="C52" i="60"/>
  <c r="C48" i="60"/>
  <c r="C44" i="60"/>
  <c r="C38" i="60"/>
  <c r="G49" i="59"/>
  <c r="C42" i="62"/>
  <c r="C39" i="62"/>
  <c r="C40" i="62"/>
  <c r="C41" i="62"/>
  <c r="C38" i="58"/>
  <c r="C38" i="68"/>
  <c r="C38" i="67"/>
  <c r="C38" i="66"/>
  <c r="C38" i="65"/>
  <c r="C38" i="61"/>
  <c r="C38" i="59"/>
  <c r="D58" i="62"/>
  <c r="E58" i="62"/>
  <c r="G58" i="62"/>
  <c r="D59" i="62"/>
  <c r="E59" i="62"/>
  <c r="G59" i="62"/>
  <c r="C59" i="62"/>
  <c r="C58" i="62"/>
  <c r="D53" i="62"/>
  <c r="E53" i="62"/>
  <c r="G53" i="62"/>
  <c r="D54" i="62"/>
  <c r="E54" i="62"/>
  <c r="G54" i="62"/>
  <c r="D55" i="62"/>
  <c r="E55" i="62"/>
  <c r="G55" i="62"/>
  <c r="C55" i="62"/>
  <c r="C54" i="62"/>
  <c r="C53" i="62"/>
  <c r="D49" i="62"/>
  <c r="E49" i="62"/>
  <c r="G49" i="62"/>
  <c r="G50" i="62"/>
  <c r="D50" i="62"/>
  <c r="E50" i="62"/>
  <c r="C50" i="62"/>
  <c r="C49" i="62"/>
  <c r="D45" i="62"/>
  <c r="E45" i="62"/>
  <c r="G45" i="62"/>
  <c r="D46" i="62"/>
  <c r="E46" i="62"/>
  <c r="G46" i="62"/>
  <c r="C46" i="62"/>
  <c r="C45" i="62"/>
  <c r="D39" i="62"/>
  <c r="E39" i="62"/>
  <c r="G39" i="62"/>
  <c r="D40" i="62"/>
  <c r="E40" i="62"/>
  <c r="D41" i="62"/>
  <c r="E41" i="62"/>
  <c r="G41" i="62"/>
  <c r="D42" i="62"/>
  <c r="E42" i="62"/>
  <c r="G42" i="62"/>
  <c r="D34" i="62"/>
  <c r="D33" i="62" s="1"/>
  <c r="E34" i="62"/>
  <c r="E33" i="62" s="1"/>
  <c r="F34" i="68"/>
  <c r="F34" i="60"/>
  <c r="F34" i="61"/>
  <c r="F33" i="61" s="1"/>
  <c r="F34" i="65"/>
  <c r="F34" i="66"/>
  <c r="F33" i="66" s="1"/>
  <c r="F34" i="59"/>
  <c r="F34" i="58"/>
  <c r="F33" i="58" s="1"/>
  <c r="F34" i="67"/>
  <c r="F33" i="67" s="1"/>
  <c r="G34" i="62"/>
  <c r="G33" i="62" s="1"/>
  <c r="H33" i="62" s="1"/>
  <c r="H34" i="68"/>
  <c r="H34" i="60"/>
  <c r="H34" i="61"/>
  <c r="H34" i="65"/>
  <c r="H34" i="66"/>
  <c r="H34" i="59"/>
  <c r="H34" i="58"/>
  <c r="H34" i="67"/>
  <c r="C34" i="62"/>
  <c r="C33" i="62" s="1"/>
  <c r="D29" i="62"/>
  <c r="D28" i="62" s="1"/>
  <c r="E29" i="62"/>
  <c r="E28" i="62" s="1"/>
  <c r="G29" i="62"/>
  <c r="C29" i="62"/>
  <c r="C28" i="62" s="1"/>
  <c r="D26" i="62"/>
  <c r="D25" i="62" s="1"/>
  <c r="E26" i="62"/>
  <c r="E25" i="62" s="1"/>
  <c r="G26" i="62"/>
  <c r="C26" i="62"/>
  <c r="C25" i="62" s="1"/>
  <c r="D23" i="62"/>
  <c r="D22" i="62" s="1"/>
  <c r="E23" i="62"/>
  <c r="E22" i="62" s="1"/>
  <c r="G23" i="62"/>
  <c r="C23" i="62"/>
  <c r="C22" i="62" s="1"/>
  <c r="D15" i="62"/>
  <c r="E15" i="62"/>
  <c r="F15" i="68"/>
  <c r="F14" i="68" s="1"/>
  <c r="F31" i="68" s="1"/>
  <c r="F15" i="60"/>
  <c r="H15" i="60" s="1"/>
  <c r="F15" i="61"/>
  <c r="F15" i="65"/>
  <c r="F15" i="66"/>
  <c r="F14" i="66" s="1"/>
  <c r="F15" i="59"/>
  <c r="F14" i="59" s="1"/>
  <c r="F15" i="67"/>
  <c r="H15" i="67" s="1"/>
  <c r="G15" i="62"/>
  <c r="H15" i="68"/>
  <c r="H15" i="65"/>
  <c r="H15" i="66"/>
  <c r="D16" i="62"/>
  <c r="E16" i="62"/>
  <c r="F16" i="68"/>
  <c r="F16" i="60"/>
  <c r="H16" i="60" s="1"/>
  <c r="F16" i="61"/>
  <c r="F16" i="65"/>
  <c r="H16" i="65" s="1"/>
  <c r="F16" i="66"/>
  <c r="H16" i="66" s="1"/>
  <c r="F16" i="59"/>
  <c r="H16" i="59" s="1"/>
  <c r="F16" i="67"/>
  <c r="G16" i="62"/>
  <c r="H16" i="68"/>
  <c r="H16" i="61"/>
  <c r="H16" i="67"/>
  <c r="D17" i="62"/>
  <c r="E17" i="62"/>
  <c r="G17" i="62"/>
  <c r="D18" i="62"/>
  <c r="E18" i="62"/>
  <c r="G18" i="62"/>
  <c r="D19" i="62"/>
  <c r="E19" i="62"/>
  <c r="F19" i="68"/>
  <c r="F19" i="60"/>
  <c r="F19" i="61"/>
  <c r="F19" i="65"/>
  <c r="H19" i="65" s="1"/>
  <c r="F19" i="66"/>
  <c r="H19" i="66" s="1"/>
  <c r="F19" i="59"/>
  <c r="H19" i="59" s="1"/>
  <c r="F19" i="67"/>
  <c r="G19" i="62"/>
  <c r="H19" i="68"/>
  <c r="H19" i="60"/>
  <c r="H19" i="67"/>
  <c r="D20" i="62"/>
  <c r="E20" i="62"/>
  <c r="G20" i="62"/>
  <c r="D9" i="62"/>
  <c r="E9" i="62"/>
  <c r="G9" i="62"/>
  <c r="D10" i="62"/>
  <c r="E10" i="62"/>
  <c r="G10" i="62"/>
  <c r="D11" i="62"/>
  <c r="E11" i="62"/>
  <c r="G11" i="62"/>
  <c r="D12" i="62"/>
  <c r="E12" i="62"/>
  <c r="G12" i="62"/>
  <c r="C16" i="62"/>
  <c r="C17" i="62"/>
  <c r="C18" i="62"/>
  <c r="C19" i="62"/>
  <c r="C20" i="62"/>
  <c r="C15" i="62"/>
  <c r="C10" i="62"/>
  <c r="C11" i="62"/>
  <c r="C12" i="62"/>
  <c r="C9" i="62"/>
  <c r="D10" i="63"/>
  <c r="D8" i="63"/>
  <c r="C57" i="58"/>
  <c r="C52" i="58"/>
  <c r="C61" i="58" s="1"/>
  <c r="C48" i="58"/>
  <c r="C44" i="58"/>
  <c r="C33" i="58"/>
  <c r="C28" i="58"/>
  <c r="C25" i="58"/>
  <c r="C22" i="58"/>
  <c r="C14" i="58"/>
  <c r="C8" i="58"/>
  <c r="C57" i="68"/>
  <c r="C52" i="68"/>
  <c r="C61" i="68" s="1"/>
  <c r="C48" i="68"/>
  <c r="C44" i="68"/>
  <c r="C33" i="68"/>
  <c r="C28" i="68"/>
  <c r="C25" i="68"/>
  <c r="C22" i="68"/>
  <c r="C14" i="68"/>
  <c r="C8" i="68"/>
  <c r="C57" i="67"/>
  <c r="C61" i="67" s="1"/>
  <c r="C52" i="67"/>
  <c r="C48" i="67"/>
  <c r="C44" i="67"/>
  <c r="C33" i="67"/>
  <c r="C28" i="67"/>
  <c r="C25" i="67"/>
  <c r="C22" i="67"/>
  <c r="C14" i="67"/>
  <c r="C8" i="67"/>
  <c r="C57" i="66"/>
  <c r="C52" i="66"/>
  <c r="C48" i="66"/>
  <c r="C44" i="66"/>
  <c r="C33" i="66"/>
  <c r="C28" i="66"/>
  <c r="C31" i="66" s="1"/>
  <c r="C63" i="66" s="1"/>
  <c r="C25" i="66"/>
  <c r="C22" i="66"/>
  <c r="C14" i="66"/>
  <c r="C8" i="66"/>
  <c r="C57" i="65"/>
  <c r="C52" i="65"/>
  <c r="C48" i="65"/>
  <c r="C44" i="65"/>
  <c r="C61" i="65" s="1"/>
  <c r="C33" i="65"/>
  <c r="C28" i="65"/>
  <c r="C25" i="65"/>
  <c r="C22" i="65"/>
  <c r="C14" i="65"/>
  <c r="C8" i="65"/>
  <c r="C57" i="59"/>
  <c r="C52" i="59"/>
  <c r="C61" i="59" s="1"/>
  <c r="C48" i="59"/>
  <c r="C44" i="59"/>
  <c r="C33" i="59"/>
  <c r="C28" i="59"/>
  <c r="C25" i="59"/>
  <c r="C31" i="59" s="1"/>
  <c r="C63" i="59" s="1"/>
  <c r="C22" i="59"/>
  <c r="C14" i="59"/>
  <c r="C8" i="59"/>
  <c r="C61" i="66"/>
  <c r="H24" i="58"/>
  <c r="H47" i="68"/>
  <c r="H24" i="60"/>
  <c r="F59" i="68"/>
  <c r="H59" i="68" s="1"/>
  <c r="F58" i="68"/>
  <c r="F57" i="68" s="1"/>
  <c r="G57" i="68"/>
  <c r="E57" i="68"/>
  <c r="D57" i="68"/>
  <c r="G52" i="68"/>
  <c r="K52" i="68" s="1"/>
  <c r="E52" i="68"/>
  <c r="E61" i="68" s="1"/>
  <c r="D52" i="68"/>
  <c r="F50" i="68"/>
  <c r="H50" i="68"/>
  <c r="F49" i="68"/>
  <c r="F48" i="68" s="1"/>
  <c r="G48" i="68"/>
  <c r="K48" i="68" s="1"/>
  <c r="E48" i="68"/>
  <c r="D48" i="68"/>
  <c r="D61" i="68" s="1"/>
  <c r="F46" i="68"/>
  <c r="H46" i="68" s="1"/>
  <c r="F45" i="68"/>
  <c r="H45" i="68"/>
  <c r="G44" i="68"/>
  <c r="K44" i="68" s="1"/>
  <c r="E44" i="68"/>
  <c r="D44" i="68"/>
  <c r="F42" i="68"/>
  <c r="F42" i="62" s="1"/>
  <c r="H42" i="68"/>
  <c r="F41" i="68"/>
  <c r="H41" i="68" s="1"/>
  <c r="F40" i="68"/>
  <c r="F38" i="68" s="1"/>
  <c r="H38" i="68" s="1"/>
  <c r="H40" i="68"/>
  <c r="F39" i="68"/>
  <c r="H39" i="68" s="1"/>
  <c r="G38" i="68"/>
  <c r="K38" i="68" s="1"/>
  <c r="E38" i="68"/>
  <c r="D38" i="68"/>
  <c r="G33" i="68"/>
  <c r="H33" i="68"/>
  <c r="F33" i="68"/>
  <c r="E33" i="68"/>
  <c r="D33" i="68"/>
  <c r="G28" i="68"/>
  <c r="E28" i="68"/>
  <c r="E31" i="68" s="1"/>
  <c r="E63" i="68" s="1"/>
  <c r="E25" i="68"/>
  <c r="E22" i="68"/>
  <c r="E14" i="68"/>
  <c r="E8" i="68"/>
  <c r="D28" i="68"/>
  <c r="F26" i="68"/>
  <c r="H26" i="68" s="1"/>
  <c r="H25" i="68" s="1"/>
  <c r="G25" i="68"/>
  <c r="K25" i="68" s="1"/>
  <c r="D25" i="68"/>
  <c r="F23" i="68"/>
  <c r="H23" i="68"/>
  <c r="H22" i="68" s="1"/>
  <c r="G22" i="68"/>
  <c r="K22" i="68" s="1"/>
  <c r="D22" i="68"/>
  <c r="F20" i="68"/>
  <c r="F18" i="68"/>
  <c r="H18" i="68"/>
  <c r="F17" i="68"/>
  <c r="H17" i="68" s="1"/>
  <c r="G14" i="68"/>
  <c r="K14" i="68" s="1"/>
  <c r="D14" i="68"/>
  <c r="F12" i="68"/>
  <c r="H12" i="68" s="1"/>
  <c r="F11" i="68"/>
  <c r="H11" i="68"/>
  <c r="F10" i="68"/>
  <c r="H10" i="68" s="1"/>
  <c r="F9" i="68"/>
  <c r="H9" i="68"/>
  <c r="G8" i="68"/>
  <c r="K8" i="68" s="1"/>
  <c r="D8" i="68"/>
  <c r="D31" i="68"/>
  <c r="D63" i="68" s="1"/>
  <c r="F59" i="67"/>
  <c r="H59" i="67"/>
  <c r="F58" i="67"/>
  <c r="F57" i="67" s="1"/>
  <c r="G57" i="67"/>
  <c r="K57" i="67" s="1"/>
  <c r="E57" i="67"/>
  <c r="D57" i="67"/>
  <c r="G52" i="67"/>
  <c r="E52" i="67"/>
  <c r="D52" i="67"/>
  <c r="F50" i="67"/>
  <c r="H50" i="67" s="1"/>
  <c r="F49" i="67"/>
  <c r="F48" i="67" s="1"/>
  <c r="G48" i="67"/>
  <c r="K48" i="67" s="1"/>
  <c r="E48" i="67"/>
  <c r="D48" i="67"/>
  <c r="F46" i="67"/>
  <c r="H46" i="67" s="1"/>
  <c r="F45" i="67"/>
  <c r="H45" i="67" s="1"/>
  <c r="G44" i="67"/>
  <c r="K44" i="67" s="1"/>
  <c r="E44" i="67"/>
  <c r="D44" i="67"/>
  <c r="F42" i="67"/>
  <c r="H42" i="67"/>
  <c r="F41" i="67"/>
  <c r="H41" i="67"/>
  <c r="F40" i="67"/>
  <c r="H40" i="67"/>
  <c r="F39" i="67"/>
  <c r="H39" i="67" s="1"/>
  <c r="G38" i="67"/>
  <c r="E38" i="67"/>
  <c r="D38" i="67"/>
  <c r="G33" i="67"/>
  <c r="H33" i="67"/>
  <c r="E33" i="67"/>
  <c r="D33" i="67"/>
  <c r="G28" i="67"/>
  <c r="E28" i="67"/>
  <c r="D28" i="67"/>
  <c r="F26" i="67"/>
  <c r="F25" i="67" s="1"/>
  <c r="H26" i="67"/>
  <c r="H25" i="67" s="1"/>
  <c r="G25" i="67"/>
  <c r="K25" i="67" s="1"/>
  <c r="E25" i="67"/>
  <c r="D25" i="67"/>
  <c r="F23" i="67"/>
  <c r="F22" i="67" s="1"/>
  <c r="H23" i="67"/>
  <c r="H22" i="67" s="1"/>
  <c r="G22" i="67"/>
  <c r="K22" i="67" s="1"/>
  <c r="E22" i="67"/>
  <c r="E31" i="67" s="1"/>
  <c r="D22" i="67"/>
  <c r="F20" i="67"/>
  <c r="H20" i="67" s="1"/>
  <c r="F18" i="67"/>
  <c r="H18" i="67" s="1"/>
  <c r="F17" i="67"/>
  <c r="H17" i="67" s="1"/>
  <c r="G14" i="67"/>
  <c r="E14" i="67"/>
  <c r="D14" i="67"/>
  <c r="F12" i="67"/>
  <c r="H12" i="67" s="1"/>
  <c r="F11" i="67"/>
  <c r="H11" i="67"/>
  <c r="F10" i="67"/>
  <c r="H10" i="67" s="1"/>
  <c r="F9" i="67"/>
  <c r="F8" i="67" s="1"/>
  <c r="H8" i="67" s="1"/>
  <c r="H9" i="67"/>
  <c r="G8" i="67"/>
  <c r="K8" i="67" s="1"/>
  <c r="E8" i="67"/>
  <c r="D8" i="67"/>
  <c r="F22" i="68"/>
  <c r="H20" i="68"/>
  <c r="F20" i="60"/>
  <c r="H20" i="60"/>
  <c r="F20" i="61"/>
  <c r="H20" i="61" s="1"/>
  <c r="F20" i="65"/>
  <c r="H20" i="65"/>
  <c r="F20" i="66"/>
  <c r="H20" i="66" s="1"/>
  <c r="F20" i="59"/>
  <c r="H20" i="59"/>
  <c r="H58" i="68"/>
  <c r="F52" i="68"/>
  <c r="F44" i="68"/>
  <c r="F28" i="68"/>
  <c r="F25" i="68"/>
  <c r="F8" i="68"/>
  <c r="H8" i="68" s="1"/>
  <c r="F38" i="67"/>
  <c r="F59" i="66"/>
  <c r="H59" i="66" s="1"/>
  <c r="F58" i="66"/>
  <c r="F57" i="66" s="1"/>
  <c r="G57" i="66"/>
  <c r="K57" i="66" s="1"/>
  <c r="E57" i="66"/>
  <c r="D57" i="66"/>
  <c r="D61" i="66" s="1"/>
  <c r="F55" i="66"/>
  <c r="H55" i="66" s="1"/>
  <c r="F54" i="66"/>
  <c r="H54" i="66" s="1"/>
  <c r="F53" i="66"/>
  <c r="F52" i="66" s="1"/>
  <c r="G52" i="66"/>
  <c r="E52" i="66"/>
  <c r="D52" i="66"/>
  <c r="F50" i="66"/>
  <c r="H50" i="66"/>
  <c r="F49" i="66"/>
  <c r="G48" i="66"/>
  <c r="E48" i="66"/>
  <c r="E44" i="66"/>
  <c r="E38" i="66"/>
  <c r="E61" i="66"/>
  <c r="E28" i="66"/>
  <c r="E25" i="66"/>
  <c r="E22" i="66"/>
  <c r="E14" i="66"/>
  <c r="E31" i="66" s="1"/>
  <c r="E63" i="66" s="1"/>
  <c r="E8" i="66"/>
  <c r="E33" i="66"/>
  <c r="D48" i="66"/>
  <c r="F46" i="66"/>
  <c r="H46" i="66" s="1"/>
  <c r="F45" i="66"/>
  <c r="H45" i="66" s="1"/>
  <c r="G44" i="66"/>
  <c r="K44" i="66" s="1"/>
  <c r="D44" i="66"/>
  <c r="F42" i="66"/>
  <c r="H42" i="66" s="1"/>
  <c r="F41" i="66"/>
  <c r="H41" i="66" s="1"/>
  <c r="F40" i="66"/>
  <c r="H40" i="66" s="1"/>
  <c r="F39" i="66"/>
  <c r="H39" i="66" s="1"/>
  <c r="G38" i="66"/>
  <c r="K38" i="66" s="1"/>
  <c r="D38" i="66"/>
  <c r="G33" i="66"/>
  <c r="H33" i="66"/>
  <c r="D33" i="66"/>
  <c r="G28" i="66"/>
  <c r="F28" i="66"/>
  <c r="D28" i="66"/>
  <c r="D31" i="66" s="1"/>
  <c r="D63" i="66" s="1"/>
  <c r="F26" i="66"/>
  <c r="H26" i="66" s="1"/>
  <c r="H25" i="66" s="1"/>
  <c r="G25" i="66"/>
  <c r="K25" i="66" s="1"/>
  <c r="D25" i="66"/>
  <c r="F23" i="66"/>
  <c r="H23" i="66"/>
  <c r="H22" i="66" s="1"/>
  <c r="G22" i="66"/>
  <c r="K22" i="66" s="1"/>
  <c r="D22" i="66"/>
  <c r="F18" i="66"/>
  <c r="H18" i="66"/>
  <c r="F17" i="66"/>
  <c r="H17" i="66"/>
  <c r="G14" i="66"/>
  <c r="K14" i="66" s="1"/>
  <c r="D14" i="66"/>
  <c r="F12" i="66"/>
  <c r="H12" i="66"/>
  <c r="F11" i="66"/>
  <c r="H11" i="66"/>
  <c r="F10" i="66"/>
  <c r="H10" i="66"/>
  <c r="F9" i="66"/>
  <c r="H9" i="66"/>
  <c r="G8" i="66"/>
  <c r="D8" i="66"/>
  <c r="F22" i="66"/>
  <c r="F44" i="66"/>
  <c r="F48" i="66"/>
  <c r="H49" i="66"/>
  <c r="H48" i="66" s="1"/>
  <c r="F25" i="66"/>
  <c r="F8" i="66"/>
  <c r="H8" i="66"/>
  <c r="F59" i="65"/>
  <c r="H59" i="65"/>
  <c r="F58" i="65"/>
  <c r="F57" i="65" s="1"/>
  <c r="H58" i="65"/>
  <c r="G57" i="65"/>
  <c r="E57" i="65"/>
  <c r="D57" i="65"/>
  <c r="F55" i="65"/>
  <c r="H55" i="65" s="1"/>
  <c r="F54" i="65"/>
  <c r="H54" i="65" s="1"/>
  <c r="F53" i="65"/>
  <c r="H53" i="65" s="1"/>
  <c r="G52" i="65"/>
  <c r="E52" i="65"/>
  <c r="E61" i="65" s="1"/>
  <c r="D52" i="65"/>
  <c r="F50" i="65"/>
  <c r="H50" i="65" s="1"/>
  <c r="F49" i="65"/>
  <c r="H49" i="65" s="1"/>
  <c r="G48" i="65"/>
  <c r="K48" i="65" s="1"/>
  <c r="E48" i="65"/>
  <c r="D48" i="65"/>
  <c r="F46" i="65"/>
  <c r="H46" i="65"/>
  <c r="F45" i="65"/>
  <c r="H45" i="65"/>
  <c r="F45" i="60"/>
  <c r="H45" i="60" s="1"/>
  <c r="F45" i="59"/>
  <c r="H45" i="59"/>
  <c r="G44" i="65"/>
  <c r="K44" i="65" s="1"/>
  <c r="E44" i="65"/>
  <c r="D44" i="65"/>
  <c r="D61" i="65" s="1"/>
  <c r="F42" i="65"/>
  <c r="H42" i="65"/>
  <c r="F41" i="65"/>
  <c r="H41" i="65"/>
  <c r="F40" i="65"/>
  <c r="H40" i="65"/>
  <c r="F39" i="65"/>
  <c r="F38" i="65" s="1"/>
  <c r="H39" i="65"/>
  <c r="E38" i="65"/>
  <c r="D38" i="65"/>
  <c r="F33" i="65"/>
  <c r="G33" i="65"/>
  <c r="H33" i="65" s="1"/>
  <c r="E33" i="65"/>
  <c r="D33" i="65"/>
  <c r="G28" i="65"/>
  <c r="K28" i="65" s="1"/>
  <c r="E28" i="65"/>
  <c r="E31" i="65" s="1"/>
  <c r="E63" i="65" s="1"/>
  <c r="D28" i="65"/>
  <c r="F26" i="65"/>
  <c r="H26" i="65"/>
  <c r="H25" i="65" s="1"/>
  <c r="G25" i="65"/>
  <c r="K25" i="65" s="1"/>
  <c r="E25" i="65"/>
  <c r="D25" i="65"/>
  <c r="F23" i="65"/>
  <c r="H23" i="65" s="1"/>
  <c r="G22" i="65"/>
  <c r="K22" i="65" s="1"/>
  <c r="E22" i="65"/>
  <c r="D22" i="65"/>
  <c r="F18" i="65"/>
  <c r="H18" i="65"/>
  <c r="F17" i="65"/>
  <c r="H17" i="65"/>
  <c r="G14" i="65"/>
  <c r="G8" i="65"/>
  <c r="K8" i="65" s="1"/>
  <c r="F25" i="65"/>
  <c r="F22" i="65"/>
  <c r="F14" i="65"/>
  <c r="F9" i="65"/>
  <c r="F10" i="65"/>
  <c r="F8" i="65" s="1"/>
  <c r="F11" i="65"/>
  <c r="H11" i="65" s="1"/>
  <c r="F12" i="65"/>
  <c r="E14" i="65"/>
  <c r="D14" i="65"/>
  <c r="D31" i="65" s="1"/>
  <c r="H12" i="65"/>
  <c r="H9" i="65"/>
  <c r="E8" i="65"/>
  <c r="D8" i="65"/>
  <c r="H10" i="65"/>
  <c r="F44" i="65"/>
  <c r="D28" i="60"/>
  <c r="C8" i="61"/>
  <c r="D8" i="61"/>
  <c r="E8" i="61"/>
  <c r="F9" i="61"/>
  <c r="H9" i="61" s="1"/>
  <c r="F10" i="61"/>
  <c r="H10" i="61" s="1"/>
  <c r="F11" i="61"/>
  <c r="H11" i="61" s="1"/>
  <c r="F12" i="61"/>
  <c r="H12" i="61" s="1"/>
  <c r="G8" i="61"/>
  <c r="C14" i="61"/>
  <c r="D14" i="61"/>
  <c r="E14" i="61"/>
  <c r="F17" i="61"/>
  <c r="H17" i="61" s="1"/>
  <c r="F18" i="61"/>
  <c r="G14" i="61"/>
  <c r="C22" i="61"/>
  <c r="D22" i="61"/>
  <c r="E22" i="61"/>
  <c r="F23" i="61"/>
  <c r="H23" i="61" s="1"/>
  <c r="H22" i="61" s="1"/>
  <c r="G22" i="61"/>
  <c r="C25" i="61"/>
  <c r="D25" i="61"/>
  <c r="D31" i="61" s="1"/>
  <c r="D63" i="61" s="1"/>
  <c r="E25" i="61"/>
  <c r="F26" i="61"/>
  <c r="H26" i="61" s="1"/>
  <c r="G25" i="61"/>
  <c r="C28" i="61"/>
  <c r="D28" i="61"/>
  <c r="E28" i="61"/>
  <c r="E31" i="61"/>
  <c r="E33" i="61"/>
  <c r="E57" i="61"/>
  <c r="E61" i="61" s="1"/>
  <c r="E63" i="61" s="1"/>
  <c r="E52" i="61"/>
  <c r="E48" i="61"/>
  <c r="E44" i="61"/>
  <c r="E38" i="61"/>
  <c r="G28" i="61"/>
  <c r="C33" i="61"/>
  <c r="D33" i="61"/>
  <c r="G33" i="61"/>
  <c r="H33" i="61" s="1"/>
  <c r="D38" i="61"/>
  <c r="F39" i="61"/>
  <c r="H39" i="61"/>
  <c r="F40" i="61"/>
  <c r="H40" i="61"/>
  <c r="F41" i="61"/>
  <c r="H41" i="61"/>
  <c r="F42" i="61"/>
  <c r="H42" i="61"/>
  <c r="C44" i="61"/>
  <c r="D44" i="61"/>
  <c r="G44" i="61"/>
  <c r="C48" i="61"/>
  <c r="D48" i="61"/>
  <c r="F49" i="61"/>
  <c r="H49" i="61"/>
  <c r="H48" i="61" s="1"/>
  <c r="F50" i="61"/>
  <c r="H50" i="61"/>
  <c r="G48" i="61"/>
  <c r="C52" i="61"/>
  <c r="C61" i="61" s="1"/>
  <c r="D52" i="61"/>
  <c r="G52" i="61"/>
  <c r="C57" i="61"/>
  <c r="D57" i="61"/>
  <c r="D61" i="61" s="1"/>
  <c r="F58" i="61"/>
  <c r="H58" i="61"/>
  <c r="F59" i="61"/>
  <c r="H59" i="61"/>
  <c r="G57" i="61"/>
  <c r="E10" i="63"/>
  <c r="E8" i="63"/>
  <c r="F10" i="63"/>
  <c r="G10" i="63"/>
  <c r="F9" i="63"/>
  <c r="G9" i="63"/>
  <c r="G8" i="63"/>
  <c r="F8" i="63"/>
  <c r="H10" i="63"/>
  <c r="I9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D27" i="63"/>
  <c r="E27" i="63"/>
  <c r="F27" i="63"/>
  <c r="G29" i="63"/>
  <c r="G27" i="63"/>
  <c r="H27" i="63"/>
  <c r="I27" i="63"/>
  <c r="I29" i="63"/>
  <c r="G30" i="63"/>
  <c r="I30" i="63"/>
  <c r="D8" i="58"/>
  <c r="E8" i="58"/>
  <c r="F9" i="58"/>
  <c r="H9" i="58" s="1"/>
  <c r="F10" i="58"/>
  <c r="H10" i="58" s="1"/>
  <c r="F11" i="58"/>
  <c r="H11" i="58"/>
  <c r="F12" i="58"/>
  <c r="H12" i="58" s="1"/>
  <c r="G8" i="58"/>
  <c r="D14" i="58"/>
  <c r="E14" i="58"/>
  <c r="G14" i="58"/>
  <c r="K14" i="58" s="1"/>
  <c r="D22" i="58"/>
  <c r="E22" i="58"/>
  <c r="G22" i="58"/>
  <c r="K22" i="58" s="1"/>
  <c r="D25" i="58"/>
  <c r="E25" i="58"/>
  <c r="F26" i="58"/>
  <c r="F25" i="58" s="1"/>
  <c r="H25" i="58" s="1"/>
  <c r="G25" i="58"/>
  <c r="D28" i="58"/>
  <c r="E28" i="58"/>
  <c r="E31" i="58" s="1"/>
  <c r="F28" i="58"/>
  <c r="G28" i="58"/>
  <c r="D33" i="58"/>
  <c r="E33" i="58"/>
  <c r="G33" i="58"/>
  <c r="H33" i="58" s="1"/>
  <c r="D38" i="58"/>
  <c r="E38" i="58"/>
  <c r="F39" i="58"/>
  <c r="F40" i="58"/>
  <c r="F38" i="58" s="1"/>
  <c r="H40" i="58"/>
  <c r="F41" i="58"/>
  <c r="H41" i="58" s="1"/>
  <c r="F42" i="58"/>
  <c r="H42" i="58"/>
  <c r="D44" i="58"/>
  <c r="E44" i="58"/>
  <c r="G44" i="58"/>
  <c r="K44" i="58" s="1"/>
  <c r="D48" i="58"/>
  <c r="E48" i="58"/>
  <c r="G48" i="58"/>
  <c r="K48" i="58" s="1"/>
  <c r="D52" i="58"/>
  <c r="E52" i="58"/>
  <c r="F53" i="58"/>
  <c r="H53" i="58" s="1"/>
  <c r="F54" i="58"/>
  <c r="H54" i="58" s="1"/>
  <c r="F55" i="58"/>
  <c r="H55" i="58" s="1"/>
  <c r="G52" i="58"/>
  <c r="D57" i="58"/>
  <c r="E57" i="58"/>
  <c r="G57" i="58"/>
  <c r="K57" i="58" s="1"/>
  <c r="D8" i="59"/>
  <c r="E8" i="59"/>
  <c r="F9" i="59"/>
  <c r="H9" i="59"/>
  <c r="F10" i="59"/>
  <c r="H10" i="59" s="1"/>
  <c r="F10" i="60"/>
  <c r="H10" i="60"/>
  <c r="F11" i="59"/>
  <c r="H11" i="59" s="1"/>
  <c r="F12" i="59"/>
  <c r="G8" i="59"/>
  <c r="K8" i="59" s="1"/>
  <c r="D14" i="59"/>
  <c r="E14" i="59"/>
  <c r="F17" i="59"/>
  <c r="F18" i="59"/>
  <c r="H18" i="59" s="1"/>
  <c r="G14" i="59"/>
  <c r="K14" i="59" s="1"/>
  <c r="G28" i="59"/>
  <c r="K28" i="59" s="1"/>
  <c r="G25" i="59"/>
  <c r="K25" i="59" s="1"/>
  <c r="G22" i="59"/>
  <c r="F26" i="59"/>
  <c r="F25" i="59"/>
  <c r="F23" i="59"/>
  <c r="F22" i="59"/>
  <c r="D22" i="59"/>
  <c r="E22" i="59"/>
  <c r="H23" i="59"/>
  <c r="H22" i="59" s="1"/>
  <c r="D25" i="59"/>
  <c r="E25" i="59"/>
  <c r="E28" i="59"/>
  <c r="E31" i="59"/>
  <c r="E63" i="59" s="1"/>
  <c r="H26" i="59"/>
  <c r="H25" i="59" s="1"/>
  <c r="D28" i="59"/>
  <c r="D33" i="59"/>
  <c r="E33" i="59"/>
  <c r="F33" i="59"/>
  <c r="G33" i="59"/>
  <c r="H33" i="59" s="1"/>
  <c r="D38" i="59"/>
  <c r="E38" i="59"/>
  <c r="F39" i="59"/>
  <c r="H39" i="59"/>
  <c r="F40" i="59"/>
  <c r="F38" i="59" s="1"/>
  <c r="H38" i="59" s="1"/>
  <c r="H40" i="59"/>
  <c r="F41" i="59"/>
  <c r="H41" i="59"/>
  <c r="F42" i="59"/>
  <c r="H42" i="59" s="1"/>
  <c r="G38" i="59"/>
  <c r="K38" i="59" s="1"/>
  <c r="D44" i="59"/>
  <c r="E44" i="59"/>
  <c r="F46" i="59"/>
  <c r="F44" i="59" s="1"/>
  <c r="G44" i="59"/>
  <c r="K44" i="59" s="1"/>
  <c r="D48" i="59"/>
  <c r="E48" i="59"/>
  <c r="E61" i="59" s="1"/>
  <c r="F49" i="59"/>
  <c r="H49" i="59" s="1"/>
  <c r="H48" i="59" s="1"/>
  <c r="F50" i="59"/>
  <c r="H50" i="59"/>
  <c r="G48" i="59"/>
  <c r="K48" i="59" s="1"/>
  <c r="D52" i="59"/>
  <c r="E52" i="59"/>
  <c r="F53" i="59"/>
  <c r="F52" i="59" s="1"/>
  <c r="H53" i="59"/>
  <c r="F54" i="59"/>
  <c r="F55" i="59"/>
  <c r="H55" i="59"/>
  <c r="G52" i="59"/>
  <c r="K52" i="59" s="1"/>
  <c r="D57" i="59"/>
  <c r="E57" i="59"/>
  <c r="F58" i="59"/>
  <c r="H58" i="59"/>
  <c r="F59" i="59"/>
  <c r="H59" i="59"/>
  <c r="G57" i="59"/>
  <c r="D8" i="60"/>
  <c r="E8" i="60"/>
  <c r="F9" i="60"/>
  <c r="F11" i="60"/>
  <c r="H11" i="60"/>
  <c r="F12" i="60"/>
  <c r="H12" i="60" s="1"/>
  <c r="D14" i="60"/>
  <c r="E14" i="60"/>
  <c r="E31" i="60" s="1"/>
  <c r="E63" i="60" s="1"/>
  <c r="F17" i="60"/>
  <c r="H17" i="60" s="1"/>
  <c r="F18" i="60"/>
  <c r="D22" i="60"/>
  <c r="E22" i="60"/>
  <c r="F23" i="60"/>
  <c r="F22" i="60" s="1"/>
  <c r="D25" i="60"/>
  <c r="E25" i="60"/>
  <c r="F26" i="60"/>
  <c r="H26" i="60" s="1"/>
  <c r="E28" i="60"/>
  <c r="D33" i="60"/>
  <c r="E33" i="60"/>
  <c r="F33" i="60"/>
  <c r="H33" i="60"/>
  <c r="D38" i="60"/>
  <c r="E38" i="60"/>
  <c r="F39" i="60"/>
  <c r="H39" i="60" s="1"/>
  <c r="F40" i="60"/>
  <c r="H40" i="60" s="1"/>
  <c r="F41" i="60"/>
  <c r="F42" i="60"/>
  <c r="H42" i="60"/>
  <c r="D44" i="60"/>
  <c r="E44" i="60"/>
  <c r="F46" i="60"/>
  <c r="D48" i="60"/>
  <c r="E48" i="60"/>
  <c r="F49" i="60"/>
  <c r="H49" i="60" s="1"/>
  <c r="F50" i="60"/>
  <c r="H50" i="60" s="1"/>
  <c r="D52" i="60"/>
  <c r="E52" i="60"/>
  <c r="E61" i="60" s="1"/>
  <c r="F53" i="60"/>
  <c r="F52" i="60" s="1"/>
  <c r="F54" i="60"/>
  <c r="H54" i="60" s="1"/>
  <c r="F55" i="60"/>
  <c r="H55" i="60" s="1"/>
  <c r="D57" i="60"/>
  <c r="E57" i="60"/>
  <c r="F58" i="60"/>
  <c r="F59" i="60"/>
  <c r="D61" i="59"/>
  <c r="D31" i="60"/>
  <c r="D63" i="60" s="1"/>
  <c r="F14" i="60"/>
  <c r="G31" i="61"/>
  <c r="H54" i="59"/>
  <c r="H17" i="59"/>
  <c r="H12" i="59"/>
  <c r="H59" i="60"/>
  <c r="H58" i="60"/>
  <c r="H41" i="60"/>
  <c r="H18" i="60"/>
  <c r="H9" i="60"/>
  <c r="I10" i="63"/>
  <c r="H8" i="63"/>
  <c r="D31" i="59"/>
  <c r="C31" i="61"/>
  <c r="C63" i="61" s="1"/>
  <c r="F57" i="61"/>
  <c r="F48" i="61"/>
  <c r="F28" i="61"/>
  <c r="F25" i="61"/>
  <c r="F14" i="61"/>
  <c r="F44" i="61"/>
  <c r="F38" i="61"/>
  <c r="F8" i="61"/>
  <c r="H8" i="61" s="1"/>
  <c r="I8" i="63"/>
  <c r="F44" i="58"/>
  <c r="H39" i="58"/>
  <c r="F57" i="59"/>
  <c r="H46" i="59"/>
  <c r="H44" i="59" s="1"/>
  <c r="D61" i="60"/>
  <c r="F28" i="60"/>
  <c r="F25" i="60"/>
  <c r="H25" i="60"/>
  <c r="H23" i="60"/>
  <c r="H22" i="60" s="1"/>
  <c r="F8" i="60"/>
  <c r="H8" i="60" s="1"/>
  <c r="H46" i="60"/>
  <c r="F38" i="60"/>
  <c r="D63" i="59"/>
  <c r="G38" i="65"/>
  <c r="K38" i="65" s="1"/>
  <c r="H38" i="60"/>
  <c r="G38" i="58"/>
  <c r="K38" i="58" s="1"/>
  <c r="C31" i="68"/>
  <c r="K52" i="58" l="1"/>
  <c r="K28" i="58"/>
  <c r="K8" i="58"/>
  <c r="H38" i="58"/>
  <c r="G31" i="58"/>
  <c r="K25" i="58"/>
  <c r="H52" i="58"/>
  <c r="I31" i="58"/>
  <c r="J31" i="58" s="1"/>
  <c r="H44" i="58"/>
  <c r="H26" i="58"/>
  <c r="H26" i="62" s="1"/>
  <c r="E61" i="58"/>
  <c r="E63" i="58" s="1"/>
  <c r="D31" i="58"/>
  <c r="J29" i="62"/>
  <c r="H22" i="58"/>
  <c r="J23" i="62"/>
  <c r="F22" i="58"/>
  <c r="F31" i="58" s="1"/>
  <c r="G61" i="58"/>
  <c r="F8" i="58"/>
  <c r="H8" i="58" s="1"/>
  <c r="D61" i="58"/>
  <c r="F52" i="58"/>
  <c r="C31" i="58"/>
  <c r="C63" i="58" s="1"/>
  <c r="F48" i="58"/>
  <c r="H28" i="58"/>
  <c r="G31" i="68"/>
  <c r="H31" i="68" s="1"/>
  <c r="H63" i="68" s="1"/>
  <c r="K28" i="68"/>
  <c r="H48" i="68"/>
  <c r="H52" i="68"/>
  <c r="G61" i="68"/>
  <c r="K61" i="68" s="1"/>
  <c r="K57" i="68"/>
  <c r="K38" i="67"/>
  <c r="K52" i="67"/>
  <c r="K14" i="67"/>
  <c r="H38" i="67"/>
  <c r="G31" i="67"/>
  <c r="K28" i="67"/>
  <c r="K10" i="62"/>
  <c r="K8" i="66"/>
  <c r="K28" i="66"/>
  <c r="G31" i="66"/>
  <c r="K31" i="66" s="1"/>
  <c r="G61" i="66"/>
  <c r="K48" i="66"/>
  <c r="K49" i="62"/>
  <c r="K57" i="65"/>
  <c r="K9" i="62"/>
  <c r="K54" i="62"/>
  <c r="K14" i="65"/>
  <c r="K17" i="62"/>
  <c r="K41" i="62"/>
  <c r="H8" i="65"/>
  <c r="H57" i="65"/>
  <c r="H38" i="65"/>
  <c r="G61" i="65"/>
  <c r="K52" i="65"/>
  <c r="K57" i="59"/>
  <c r="H57" i="59"/>
  <c r="H38" i="61"/>
  <c r="K38" i="61"/>
  <c r="K58" i="62"/>
  <c r="K11" i="62"/>
  <c r="J18" i="62"/>
  <c r="J42" i="62"/>
  <c r="K12" i="62"/>
  <c r="K20" i="62"/>
  <c r="K18" i="62"/>
  <c r="K42" i="62"/>
  <c r="K39" i="62"/>
  <c r="K45" i="62"/>
  <c r="K53" i="62"/>
  <c r="K46" i="62"/>
  <c r="K59" i="62"/>
  <c r="G22" i="62"/>
  <c r="K23" i="62"/>
  <c r="G25" i="62"/>
  <c r="K26" i="62"/>
  <c r="G28" i="62"/>
  <c r="K29" i="62"/>
  <c r="H57" i="58"/>
  <c r="H48" i="58"/>
  <c r="H14" i="58"/>
  <c r="F14" i="58"/>
  <c r="F57" i="58"/>
  <c r="F63" i="68"/>
  <c r="F61" i="68"/>
  <c r="H61" i="68" s="1"/>
  <c r="C63" i="68"/>
  <c r="H14" i="68"/>
  <c r="H49" i="68"/>
  <c r="H57" i="68"/>
  <c r="H44" i="68"/>
  <c r="H58" i="67"/>
  <c r="H57" i="67" s="1"/>
  <c r="F50" i="62"/>
  <c r="D31" i="67"/>
  <c r="D63" i="67" s="1"/>
  <c r="G61" i="67"/>
  <c r="F52" i="67"/>
  <c r="D61" i="67"/>
  <c r="E61" i="67"/>
  <c r="E63" i="67" s="1"/>
  <c r="C31" i="67"/>
  <c r="C63" i="67" s="1"/>
  <c r="I31" i="67"/>
  <c r="J31" i="67" s="1"/>
  <c r="F31" i="67"/>
  <c r="H52" i="67"/>
  <c r="H44" i="67"/>
  <c r="H14" i="67"/>
  <c r="H49" i="67"/>
  <c r="H48" i="67" s="1"/>
  <c r="F14" i="67"/>
  <c r="F20" i="62"/>
  <c r="J20" i="62" s="1"/>
  <c r="F44" i="67"/>
  <c r="F61" i="67" s="1"/>
  <c r="H61" i="67" s="1"/>
  <c r="F61" i="66"/>
  <c r="H61" i="66" s="1"/>
  <c r="F31" i="66"/>
  <c r="H44" i="66"/>
  <c r="F45" i="62"/>
  <c r="J45" i="62" s="1"/>
  <c r="F26" i="62"/>
  <c r="F25" i="62" s="1"/>
  <c r="H25" i="62" s="1"/>
  <c r="F38" i="66"/>
  <c r="H38" i="66" s="1"/>
  <c r="H58" i="66"/>
  <c r="H57" i="66" s="1"/>
  <c r="F58" i="62"/>
  <c r="J58" i="62" s="1"/>
  <c r="H53" i="66"/>
  <c r="H52" i="66" s="1"/>
  <c r="H14" i="66"/>
  <c r="H59" i="62"/>
  <c r="F54" i="62"/>
  <c r="J54" i="62" s="1"/>
  <c r="F59" i="62"/>
  <c r="J59" i="62" s="1"/>
  <c r="F41" i="62"/>
  <c r="J41" i="62" s="1"/>
  <c r="D63" i="65"/>
  <c r="F55" i="62"/>
  <c r="H44" i="65"/>
  <c r="C31" i="65"/>
  <c r="C63" i="65" s="1"/>
  <c r="G31" i="65"/>
  <c r="F29" i="62"/>
  <c r="F28" i="62" s="1"/>
  <c r="F48" i="65"/>
  <c r="F28" i="65"/>
  <c r="F31" i="65" s="1"/>
  <c r="F61" i="59"/>
  <c r="H52" i="59"/>
  <c r="H11" i="62"/>
  <c r="F8" i="59"/>
  <c r="H8" i="59" s="1"/>
  <c r="F46" i="62"/>
  <c r="J46" i="62" s="1"/>
  <c r="H40" i="62"/>
  <c r="F28" i="59"/>
  <c r="F31" i="59" s="1"/>
  <c r="F63" i="59" s="1"/>
  <c r="H15" i="59"/>
  <c r="H14" i="59" s="1"/>
  <c r="F48" i="59"/>
  <c r="F10" i="62"/>
  <c r="J10" i="62" s="1"/>
  <c r="F34" i="62"/>
  <c r="F33" i="62" s="1"/>
  <c r="F40" i="62"/>
  <c r="J40" i="62" s="1"/>
  <c r="F19" i="62"/>
  <c r="D44" i="62"/>
  <c r="D57" i="62"/>
  <c r="H48" i="60"/>
  <c r="H14" i="60"/>
  <c r="F31" i="60"/>
  <c r="F57" i="60"/>
  <c r="F61" i="60" s="1"/>
  <c r="H61" i="60" s="1"/>
  <c r="H57" i="60"/>
  <c r="H39" i="62"/>
  <c r="F18" i="62"/>
  <c r="D8" i="62"/>
  <c r="F39" i="62"/>
  <c r="J39" i="62" s="1"/>
  <c r="F49" i="62"/>
  <c r="J49" i="62" s="1"/>
  <c r="H53" i="60"/>
  <c r="H52" i="60" s="1"/>
  <c r="H17" i="62"/>
  <c r="F16" i="62"/>
  <c r="C44" i="62"/>
  <c r="C48" i="62"/>
  <c r="C57" i="62"/>
  <c r="G57" i="62"/>
  <c r="F48" i="60"/>
  <c r="F44" i="60"/>
  <c r="H44" i="60" s="1"/>
  <c r="F12" i="62"/>
  <c r="J12" i="62" s="1"/>
  <c r="H10" i="62"/>
  <c r="H42" i="62"/>
  <c r="H12" i="62"/>
  <c r="F15" i="62"/>
  <c r="D14" i="62"/>
  <c r="H25" i="61"/>
  <c r="G61" i="61"/>
  <c r="H54" i="62"/>
  <c r="C14" i="62"/>
  <c r="H16" i="62"/>
  <c r="F22" i="61"/>
  <c r="F31" i="61" s="1"/>
  <c r="F52" i="61"/>
  <c r="F61" i="61" s="1"/>
  <c r="F9" i="62"/>
  <c r="J9" i="62" s="1"/>
  <c r="F53" i="62"/>
  <c r="J53" i="62" s="1"/>
  <c r="F17" i="62"/>
  <c r="J17" i="62" s="1"/>
  <c r="H41" i="62"/>
  <c r="H9" i="62"/>
  <c r="H18" i="61"/>
  <c r="H18" i="62" s="1"/>
  <c r="H19" i="61"/>
  <c r="H19" i="62" s="1"/>
  <c r="G40" i="62"/>
  <c r="E44" i="62"/>
  <c r="E48" i="62"/>
  <c r="E52" i="62"/>
  <c r="E57" i="62"/>
  <c r="H55" i="61"/>
  <c r="H55" i="62" s="1"/>
  <c r="F11" i="62"/>
  <c r="J11" i="62" s="1"/>
  <c r="H57" i="61"/>
  <c r="F23" i="62"/>
  <c r="F22" i="62" s="1"/>
  <c r="H50" i="62"/>
  <c r="H20" i="62"/>
  <c r="H15" i="61"/>
  <c r="H34" i="62"/>
  <c r="E14" i="62"/>
  <c r="E31" i="62" s="1"/>
  <c r="G44" i="62"/>
  <c r="G52" i="62"/>
  <c r="D48" i="62"/>
  <c r="D52" i="62"/>
  <c r="C38" i="62"/>
  <c r="C8" i="62"/>
  <c r="E8" i="62"/>
  <c r="D38" i="62"/>
  <c r="E38" i="62"/>
  <c r="C52" i="62"/>
  <c r="I22" i="62"/>
  <c r="J22" i="62" s="1"/>
  <c r="I52" i="62"/>
  <c r="I25" i="62"/>
  <c r="J25" i="62" s="1"/>
  <c r="I28" i="62"/>
  <c r="J28" i="62" s="1"/>
  <c r="I48" i="62"/>
  <c r="F38" i="62"/>
  <c r="G48" i="62"/>
  <c r="I33" i="62"/>
  <c r="L34" i="62"/>
  <c r="H31" i="65"/>
  <c r="H22" i="65"/>
  <c r="H23" i="62"/>
  <c r="H52" i="65"/>
  <c r="H48" i="65"/>
  <c r="H28" i="65"/>
  <c r="H29" i="62"/>
  <c r="H28" i="62" s="1"/>
  <c r="H45" i="62"/>
  <c r="F52" i="65"/>
  <c r="H14" i="65"/>
  <c r="I61" i="66"/>
  <c r="J61" i="66" s="1"/>
  <c r="I61" i="58"/>
  <c r="J61" i="58" s="1"/>
  <c r="G8" i="62"/>
  <c r="G14" i="62"/>
  <c r="I44" i="62"/>
  <c r="I61" i="67"/>
  <c r="I61" i="65"/>
  <c r="J61" i="65" s="1"/>
  <c r="I57" i="62"/>
  <c r="I31" i="66"/>
  <c r="J31" i="66" s="1"/>
  <c r="I8" i="62"/>
  <c r="I61" i="59"/>
  <c r="I38" i="62"/>
  <c r="J38" i="62" s="1"/>
  <c r="I14" i="62"/>
  <c r="H46" i="62"/>
  <c r="G61" i="59"/>
  <c r="G31" i="59"/>
  <c r="K31" i="59" s="1"/>
  <c r="I31" i="65"/>
  <c r="K61" i="58" l="1"/>
  <c r="K31" i="58"/>
  <c r="G63" i="58"/>
  <c r="I63" i="58"/>
  <c r="J63" i="58" s="1"/>
  <c r="J14" i="62"/>
  <c r="J44" i="62"/>
  <c r="F61" i="58"/>
  <c r="H61" i="58" s="1"/>
  <c r="J57" i="62"/>
  <c r="J26" i="62"/>
  <c r="D63" i="58"/>
  <c r="G63" i="68"/>
  <c r="K63" i="68" s="1"/>
  <c r="K31" i="68"/>
  <c r="I63" i="67"/>
  <c r="J63" i="67" s="1"/>
  <c r="J61" i="67"/>
  <c r="K31" i="67"/>
  <c r="H49" i="62"/>
  <c r="G63" i="67"/>
  <c r="K63" i="67" s="1"/>
  <c r="K61" i="67"/>
  <c r="K22" i="62"/>
  <c r="G63" i="66"/>
  <c r="K61" i="66"/>
  <c r="K61" i="65"/>
  <c r="I63" i="65"/>
  <c r="J63" i="65" s="1"/>
  <c r="J31" i="65"/>
  <c r="G63" i="65"/>
  <c r="K31" i="65"/>
  <c r="I63" i="59"/>
  <c r="J63" i="59" s="1"/>
  <c r="J61" i="59"/>
  <c r="H61" i="59"/>
  <c r="K61" i="59"/>
  <c r="K14" i="62"/>
  <c r="L8" i="62"/>
  <c r="G63" i="61"/>
  <c r="K63" i="61" s="1"/>
  <c r="K61" i="61"/>
  <c r="H61" i="61"/>
  <c r="K8" i="62"/>
  <c r="K44" i="62"/>
  <c r="H53" i="62"/>
  <c r="N8" i="62"/>
  <c r="K28" i="62"/>
  <c r="K48" i="62"/>
  <c r="K57" i="62"/>
  <c r="L38" i="62"/>
  <c r="K52" i="62"/>
  <c r="K25" i="62"/>
  <c r="H22" i="62"/>
  <c r="G38" i="62"/>
  <c r="K38" i="62" s="1"/>
  <c r="K40" i="62"/>
  <c r="H31" i="58"/>
  <c r="H63" i="58" s="1"/>
  <c r="F63" i="58"/>
  <c r="F48" i="62"/>
  <c r="H48" i="62" s="1"/>
  <c r="F57" i="62"/>
  <c r="H57" i="62" s="1"/>
  <c r="F44" i="62"/>
  <c r="H44" i="62" s="1"/>
  <c r="H31" i="67"/>
  <c r="H63" i="67" s="1"/>
  <c r="F63" i="67"/>
  <c r="D31" i="62"/>
  <c r="H58" i="62"/>
  <c r="F63" i="66"/>
  <c r="H31" i="66"/>
  <c r="H63" i="66" s="1"/>
  <c r="F52" i="62"/>
  <c r="H52" i="62" s="1"/>
  <c r="F61" i="65"/>
  <c r="H61" i="65" s="1"/>
  <c r="H31" i="59"/>
  <c r="H63" i="59" s="1"/>
  <c r="C31" i="62"/>
  <c r="F14" i="62"/>
  <c r="H14" i="62" s="1"/>
  <c r="H31" i="60"/>
  <c r="H63" i="60" s="1"/>
  <c r="F63" i="60"/>
  <c r="F8" i="62"/>
  <c r="J8" i="62" s="1"/>
  <c r="D61" i="62"/>
  <c r="D63" i="62" s="1"/>
  <c r="C61" i="62"/>
  <c r="E61" i="62"/>
  <c r="E63" i="62" s="1"/>
  <c r="G61" i="62"/>
  <c r="H52" i="61"/>
  <c r="H14" i="61"/>
  <c r="H15" i="62"/>
  <c r="G31" i="62"/>
  <c r="F63" i="61"/>
  <c r="H31" i="61"/>
  <c r="H63" i="61" s="1"/>
  <c r="M38" i="62"/>
  <c r="N38" i="62"/>
  <c r="L33" i="62"/>
  <c r="M33" i="62" s="1"/>
  <c r="M34" i="62"/>
  <c r="N34" i="62" s="1"/>
  <c r="N33" i="62" s="1"/>
  <c r="F63" i="65"/>
  <c r="H63" i="65"/>
  <c r="I63" i="66"/>
  <c r="J63" i="66" s="1"/>
  <c r="I61" i="62"/>
  <c r="I31" i="62"/>
  <c r="G63" i="59"/>
  <c r="K63" i="59" s="1"/>
  <c r="K63" i="58" l="1"/>
  <c r="J61" i="62"/>
  <c r="J52" i="62"/>
  <c r="J48" i="62"/>
  <c r="K63" i="66"/>
  <c r="K63" i="65"/>
  <c r="H38" i="62"/>
  <c r="K61" i="62"/>
  <c r="K31" i="62"/>
  <c r="F61" i="62"/>
  <c r="H61" i="62" s="1"/>
  <c r="C63" i="62"/>
  <c r="G63" i="62"/>
  <c r="F31" i="62"/>
  <c r="H31" i="62" s="1"/>
  <c r="H8" i="62"/>
  <c r="L61" i="62"/>
  <c r="L31" i="62"/>
  <c r="I63" i="62"/>
  <c r="J31" i="62" l="1"/>
  <c r="K63" i="62"/>
  <c r="L63" i="62"/>
  <c r="F63" i="62"/>
  <c r="J63" i="62" s="1"/>
  <c r="H63" i="62"/>
  <c r="N61" i="62"/>
  <c r="N31" i="62"/>
  <c r="M61" i="62"/>
  <c r="M8" i="62"/>
  <c r="M31" i="62" s="1"/>
  <c r="N63" i="62" l="1"/>
  <c r="M63" i="62"/>
</calcChain>
</file>

<file path=xl/sharedStrings.xml><?xml version="1.0" encoding="utf-8"?>
<sst xmlns="http://schemas.openxmlformats.org/spreadsheetml/2006/main" count="843" uniqueCount="107">
  <si>
    <t>TOIMINTATUOTOT</t>
  </si>
  <si>
    <t>Liiketoiminnan myyntituotot (300000-307999)</t>
  </si>
  <si>
    <t>Korvaukset kunnilta ja kuntayhtymiltä (310000-312999)</t>
  </si>
  <si>
    <t>Muut suoritteiden myyntitulot (313000-319999)</t>
  </si>
  <si>
    <t>Maksutuotot (320000-329999)</t>
  </si>
  <si>
    <t>Yleishallinnon maksut (320000-320999)</t>
  </si>
  <si>
    <t>Terveydenhuollon maksut (321000-324999)</t>
  </si>
  <si>
    <t>Sosiaalitoimen maksut (325000-326999)</t>
  </si>
  <si>
    <t>Opetus- ja kulttuuritoimen maksut (327000-327999)</t>
  </si>
  <si>
    <t>Yhdyskuntapalvelujen maksut (328000-328999)</t>
  </si>
  <si>
    <t>Muut palvelumaksut (329000-329999)</t>
  </si>
  <si>
    <t>Tuet ja avustukset (330000-339999)</t>
  </si>
  <si>
    <t>Vuokratuotot (340000-349999)</t>
  </si>
  <si>
    <t>Muut toimintatuotot (350000-359999)</t>
  </si>
  <si>
    <t>TOIMINTATULOT YHTEENSÄ</t>
  </si>
  <si>
    <t>Valmistus omaan käyttöön (370000-379999)</t>
  </si>
  <si>
    <t>TOIMINTAMENOT</t>
  </si>
  <si>
    <t>Palkat ja palkkiot (400000-409999)</t>
  </si>
  <si>
    <t>Eläkekulut (410000-414999)</t>
  </si>
  <si>
    <t>Muut henkilöstösivukulut (415000-422999)</t>
  </si>
  <si>
    <t>Henkilöstökorvaukset ja muut henkilöstömenojen korjauserät (</t>
  </si>
  <si>
    <t>Asiakaspalveluiden ostot (430000-433999)</t>
  </si>
  <si>
    <t>Muiden palveluiden ostot (434000-449999)</t>
  </si>
  <si>
    <t>Ostot tilikauden aikana (450000-466999)</t>
  </si>
  <si>
    <t>Varastojen lisäys / vähennys (4670000-4679999)</t>
  </si>
  <si>
    <t>Avustukset (470000-479999)</t>
  </si>
  <si>
    <t>Avustukset yksityisille (470000-473999)</t>
  </si>
  <si>
    <t>Avustukset yhteisöille (474000-474900)</t>
  </si>
  <si>
    <t>Avustukset taseyksiköille (475000-479999)</t>
  </si>
  <si>
    <t>Muut toimintakulut (480000-499999)</t>
  </si>
  <si>
    <t>Vuokrat (480000-489999)</t>
  </si>
  <si>
    <t>Muut toimintakulut (490000-499999)</t>
  </si>
  <si>
    <t>TOIMINTAMENOT YHTEENSÄ</t>
  </si>
  <si>
    <t>TOIMINTAKATE</t>
  </si>
  <si>
    <t xml:space="preserve"> </t>
  </si>
  <si>
    <t>Myyntituotot</t>
  </si>
  <si>
    <t>Henkilöstökulut (4000-4299)</t>
  </si>
  <si>
    <t>Palveluiden ostot (4300-4499)</t>
  </si>
  <si>
    <t>Aineet, tarvikkeet ja tavarat (4500-4699)</t>
  </si>
  <si>
    <t>300</t>
  </si>
  <si>
    <t>308</t>
  </si>
  <si>
    <t>Täyden korvauksen perusteella saadut korvaukset valtioilta (</t>
  </si>
  <si>
    <t>310</t>
  </si>
  <si>
    <t>313</t>
  </si>
  <si>
    <t>320</t>
  </si>
  <si>
    <t>321</t>
  </si>
  <si>
    <t>325</t>
  </si>
  <si>
    <t>327</t>
  </si>
  <si>
    <t>328</t>
  </si>
  <si>
    <t>329</t>
  </si>
  <si>
    <t>330</t>
  </si>
  <si>
    <t>340</t>
  </si>
  <si>
    <t>350</t>
  </si>
  <si>
    <t>370</t>
  </si>
  <si>
    <t>400</t>
  </si>
  <si>
    <t>410</t>
  </si>
  <si>
    <t>415</t>
  </si>
  <si>
    <t>423</t>
  </si>
  <si>
    <t>430</t>
  </si>
  <si>
    <t>434</t>
  </si>
  <si>
    <t>450</t>
  </si>
  <si>
    <t>467</t>
  </si>
  <si>
    <t>470</t>
  </si>
  <si>
    <t>474</t>
  </si>
  <si>
    <t>475</t>
  </si>
  <si>
    <t>480</t>
  </si>
  <si>
    <t>490</t>
  </si>
  <si>
    <t>TP 
2009</t>
  </si>
  <si>
    <t>TA
muutokset</t>
  </si>
  <si>
    <t>POIKKEAMA 
(euroa)</t>
  </si>
  <si>
    <t>Investointimenot</t>
  </si>
  <si>
    <t>Pysyvät vastaavat</t>
  </si>
  <si>
    <t>josta tuloslaskelmaan kirjattava osuus</t>
  </si>
  <si>
    <t>INVESTOINNIT</t>
  </si>
  <si>
    <t>Investointihankkeet</t>
  </si>
  <si>
    <t>Pysyvien vastaavien myyntitulot,</t>
  </si>
  <si>
    <t>Inv. rahoitusosuudet</t>
  </si>
  <si>
    <t>Kiinteän omaisuuden hankinnat</t>
  </si>
  <si>
    <t>Uus- ja laajennusinvestoinnit</t>
  </si>
  <si>
    <t>Korvaus- ja ylläpitoinvestoinnit</t>
  </si>
  <si>
    <t>Muut pysyvien vastaavien investoinnit</t>
  </si>
  <si>
    <t>Sijoitukset</t>
  </si>
  <si>
    <t>Investointien myyntitulot sekä myyntivoittojen/tappioiden osuus</t>
  </si>
  <si>
    <t>ENNUSTE
31.12.2014</t>
  </si>
  <si>
    <t>TA 
2014</t>
  </si>
  <si>
    <t>TA 2014
muutoksineen</t>
  </si>
  <si>
    <t>TP 
2013</t>
  </si>
  <si>
    <t>2.</t>
  </si>
  <si>
    <t>SUUN
 2016</t>
  </si>
  <si>
    <t>SUUN
 2017</t>
  </si>
  <si>
    <t>SUUN
 2018</t>
  </si>
  <si>
    <t>(1.000 €)</t>
  </si>
  <si>
    <t>TAE 2015
4.9.2014</t>
  </si>
  <si>
    <t>Toiminta-
suunnit. 2016</t>
  </si>
  <si>
    <t>Toiminta-
suunnit. 2017</t>
  </si>
  <si>
    <t>Toiminta-
suunnit. 2018</t>
  </si>
  <si>
    <t>KASVATUS- JA OPETUSLAUTAKUNTA</t>
  </si>
  <si>
    <t>TOIMIALAN YHTEISET TOIMINNOT</t>
  </si>
  <si>
    <t>TOIMIALAN YHTEINEN HALLINTO</t>
  </si>
  <si>
    <t>VARHAISKASVATUS</t>
  </si>
  <si>
    <t>PERUSOPETUS</t>
  </si>
  <si>
    <t>RUOTSINKIELINEN KASVATUS JA OPETUS</t>
  </si>
  <si>
    <t>LUKIOKOULUTUS</t>
  </si>
  <si>
    <t>AMMATILLINEN KOULUTUS</t>
  </si>
  <si>
    <t>AIKUISKOULUTUS</t>
  </si>
  <si>
    <t>MUUTOS TA 2014</t>
  </si>
  <si>
    <t>MUUTOS ENN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</si>
</sst>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\ %"/>
    <numFmt numFmtId="166" formatCode="#,##0.0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" fillId="20" borderId="1" applyNumberFormat="0" applyFont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20" fillId="7" borderId="2" applyNumberFormat="0" applyAlignment="0" applyProtection="0"/>
    <xf numFmtId="0" fontId="21" fillId="23" borderId="8" applyNumberFormat="0" applyAlignment="0" applyProtection="0"/>
    <xf numFmtId="0" fontId="22" fillId="21" borderId="9" applyNumberFormat="0" applyAlignment="0" applyProtection="0"/>
    <xf numFmtId="0" fontId="23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47">
    <xf numFmtId="0" fontId="0" fillId="0" borderId="0" xfId="0"/>
    <xf numFmtId="0" fontId="2" fillId="24" borderId="0" xfId="32" applyFont="1" applyFill="1" applyBorder="1" applyAlignment="1" applyProtection="1">
      <alignment horizontal="left"/>
    </xf>
    <xf numFmtId="0" fontId="2" fillId="24" borderId="0" xfId="32" applyFont="1" applyFill="1" applyBorder="1" applyAlignment="1" applyProtection="1">
      <alignment horizontal="center"/>
    </xf>
    <xf numFmtId="0" fontId="2" fillId="24" borderId="10" xfId="32" applyFont="1" applyFill="1" applyBorder="1" applyAlignment="1" applyProtection="1">
      <alignment horizontal="left"/>
    </xf>
    <xf numFmtId="3" fontId="3" fillId="24" borderId="0" xfId="32" applyNumberFormat="1" applyFont="1" applyFill="1" applyBorder="1" applyAlignment="1" applyProtection="1">
      <alignment horizontal="center"/>
    </xf>
    <xf numFmtId="0" fontId="0" fillId="0" borderId="0" xfId="0" applyProtection="1"/>
    <xf numFmtId="0" fontId="2" fillId="24" borderId="0" xfId="0" applyFont="1" applyFill="1" applyBorder="1" applyProtection="1"/>
    <xf numFmtId="0" fontId="4" fillId="24" borderId="0" xfId="32" applyFont="1" applyFill="1" applyBorder="1" applyAlignment="1" applyProtection="1">
      <alignment horizontal="left"/>
    </xf>
    <xf numFmtId="38" fontId="2" fillId="24" borderId="0" xfId="32" applyNumberFormat="1" applyFont="1" applyFill="1" applyBorder="1" applyAlignment="1" applyProtection="1">
      <alignment horizontal="center"/>
    </xf>
    <xf numFmtId="1" fontId="3" fillId="25" borderId="0" xfId="0" applyNumberFormat="1" applyFont="1" applyFill="1" applyBorder="1" applyProtection="1"/>
    <xf numFmtId="0" fontId="3" fillId="25" borderId="0" xfId="0" applyFont="1" applyFill="1" applyBorder="1" applyProtection="1"/>
    <xf numFmtId="0" fontId="2" fillId="25" borderId="0" xfId="34" applyNumberFormat="1" applyFont="1" applyFill="1" applyAlignment="1" applyProtection="1">
      <alignment wrapText="1"/>
    </xf>
    <xf numFmtId="1" fontId="3" fillId="24" borderId="0" xfId="0" applyNumberFormat="1" applyFont="1" applyFill="1" applyBorder="1" applyProtection="1"/>
    <xf numFmtId="0" fontId="3" fillId="24" borderId="0" xfId="0" applyFont="1" applyFill="1" applyBorder="1" applyProtection="1"/>
    <xf numFmtId="0" fontId="2" fillId="24" borderId="0" xfId="34" applyNumberFormat="1" applyFont="1" applyFill="1" applyAlignment="1" applyProtection="1">
      <alignment horizontal="center" wrapText="1"/>
    </xf>
    <xf numFmtId="0" fontId="2" fillId="24" borderId="0" xfId="0" applyFont="1" applyFill="1" applyAlignment="1" applyProtection="1">
      <alignment wrapText="1"/>
    </xf>
    <xf numFmtId="0" fontId="3" fillId="24" borderId="0" xfId="0" applyFont="1" applyFill="1" applyBorder="1" applyAlignment="1" applyProtection="1">
      <alignment horizontal="center"/>
    </xf>
    <xf numFmtId="0" fontId="0" fillId="24" borderId="0" xfId="0" applyFill="1" applyAlignment="1" applyProtection="1">
      <alignment horizontal="center"/>
    </xf>
    <xf numFmtId="1" fontId="2" fillId="24" borderId="0" xfId="32" applyNumberFormat="1" applyFont="1" applyFill="1" applyBorder="1" applyAlignment="1" applyProtection="1">
      <alignment horizontal="left"/>
    </xf>
    <xf numFmtId="0" fontId="3" fillId="24" borderId="0" xfId="0" applyFont="1" applyFill="1" applyProtection="1"/>
    <xf numFmtId="1" fontId="2" fillId="24" borderId="10" xfId="32" applyNumberFormat="1" applyFont="1" applyFill="1" applyBorder="1" applyAlignment="1" applyProtection="1">
      <alignment horizontal="left"/>
    </xf>
    <xf numFmtId="3" fontId="2" fillId="24" borderId="10" xfId="32" applyNumberFormat="1" applyFont="1" applyFill="1" applyBorder="1" applyAlignment="1" applyProtection="1">
      <alignment horizontal="right"/>
    </xf>
    <xf numFmtId="0" fontId="2" fillId="24" borderId="0" xfId="32" applyNumberFormat="1" applyFont="1" applyFill="1" applyBorder="1" applyAlignment="1" applyProtection="1">
      <alignment horizontal="left"/>
    </xf>
    <xf numFmtId="0" fontId="3" fillId="24" borderId="0" xfId="32" applyFont="1" applyFill="1" applyBorder="1" applyAlignment="1" applyProtection="1">
      <alignment horizontal="left" indent="1"/>
    </xf>
    <xf numFmtId="3" fontId="2" fillId="24" borderId="0" xfId="32" applyNumberFormat="1" applyFont="1" applyFill="1" applyBorder="1" applyAlignment="1" applyProtection="1">
      <alignment horizontal="right"/>
    </xf>
    <xf numFmtId="0" fontId="2" fillId="24" borderId="10" xfId="32" applyNumberFormat="1" applyFont="1" applyFill="1" applyBorder="1" applyAlignment="1" applyProtection="1">
      <alignment horizontal="left"/>
    </xf>
    <xf numFmtId="0" fontId="3" fillId="24" borderId="0" xfId="32" applyFont="1" applyFill="1" applyBorder="1" applyAlignment="1" applyProtection="1">
      <alignment horizontal="left"/>
    </xf>
    <xf numFmtId="0" fontId="4" fillId="26" borderId="0" xfId="32" applyFont="1" applyFill="1" applyBorder="1" applyAlignment="1" applyProtection="1">
      <alignment horizontal="left"/>
    </xf>
    <xf numFmtId="3" fontId="4" fillId="26" borderId="0" xfId="32" applyNumberFormat="1" applyFont="1" applyFill="1" applyBorder="1" applyAlignment="1" applyProtection="1">
      <alignment horizontal="right"/>
    </xf>
    <xf numFmtId="0" fontId="6" fillId="0" borderId="10" xfId="34" applyFont="1" applyBorder="1" applyAlignment="1" applyProtection="1">
      <alignment horizontal="left"/>
    </xf>
    <xf numFmtId="38" fontId="2" fillId="26" borderId="0" xfId="32" applyNumberFormat="1" applyFont="1" applyFill="1" applyBorder="1" applyAlignment="1" applyProtection="1">
      <alignment horizontal="center"/>
    </xf>
    <xf numFmtId="3" fontId="4" fillId="24" borderId="0" xfId="32" applyNumberFormat="1" applyFont="1" applyFill="1" applyBorder="1" applyAlignment="1" applyProtection="1">
      <alignment horizontal="right"/>
    </xf>
    <xf numFmtId="1" fontId="2" fillId="26" borderId="0" xfId="32" applyNumberFormat="1" applyFont="1" applyFill="1" applyBorder="1" applyProtection="1"/>
    <xf numFmtId="0" fontId="2" fillId="26" borderId="0" xfId="32" applyNumberFormat="1" applyFont="1" applyFill="1" applyBorder="1" applyAlignment="1" applyProtection="1">
      <alignment horizontal="left"/>
    </xf>
    <xf numFmtId="3" fontId="2" fillId="24" borderId="11" xfId="32" applyNumberFormat="1" applyFont="1" applyFill="1" applyBorder="1" applyAlignment="1" applyProtection="1">
      <alignment horizontal="right"/>
    </xf>
    <xf numFmtId="3" fontId="2" fillId="27" borderId="12" xfId="32" applyNumberFormat="1" applyFont="1" applyFill="1" applyBorder="1" applyAlignment="1" applyProtection="1">
      <alignment horizontal="right"/>
    </xf>
    <xf numFmtId="3" fontId="2" fillId="27" borderId="13" xfId="32" applyNumberFormat="1" applyFont="1" applyFill="1" applyBorder="1" applyAlignment="1" applyProtection="1">
      <alignment horizontal="right"/>
    </xf>
    <xf numFmtId="3" fontId="3" fillId="24" borderId="10" xfId="32" applyNumberFormat="1" applyFont="1" applyFill="1" applyBorder="1" applyAlignment="1" applyProtection="1">
      <alignment horizontal="right"/>
    </xf>
    <xf numFmtId="3" fontId="3" fillId="27" borderId="13" xfId="32" applyNumberFormat="1" applyFont="1" applyFill="1" applyBorder="1" applyAlignment="1" applyProtection="1">
      <alignment horizontal="right"/>
    </xf>
    <xf numFmtId="3" fontId="3" fillId="27" borderId="12" xfId="32" applyNumberFormat="1" applyFont="1" applyFill="1" applyBorder="1" applyAlignment="1" applyProtection="1">
      <alignment horizontal="right"/>
    </xf>
    <xf numFmtId="0" fontId="3" fillId="24" borderId="0" xfId="32" applyNumberFormat="1" applyFont="1" applyFill="1" applyBorder="1" applyAlignment="1" applyProtection="1">
      <alignment horizontal="left"/>
    </xf>
    <xf numFmtId="3" fontId="0" fillId="0" borderId="0" xfId="0" applyNumberFormat="1" applyProtection="1"/>
    <xf numFmtId="0" fontId="24" fillId="0" borderId="0" xfId="0" applyFont="1" applyProtection="1"/>
    <xf numFmtId="164" fontId="0" fillId="0" borderId="0" xfId="0" applyNumberFormat="1" applyProtection="1"/>
    <xf numFmtId="165" fontId="2" fillId="24" borderId="10" xfId="46" applyNumberFormat="1" applyFont="1" applyFill="1" applyBorder="1" applyAlignment="1" applyProtection="1">
      <alignment horizontal="right"/>
    </xf>
    <xf numFmtId="165" fontId="4" fillId="26" borderId="0" xfId="46" applyNumberFormat="1" applyFont="1" applyFill="1" applyBorder="1" applyAlignment="1" applyProtection="1">
      <alignment horizontal="right"/>
    </xf>
    <xf numFmtId="166" fontId="2" fillId="24" borderId="0" xfId="32" applyNumberFormat="1" applyFont="1" applyFill="1" applyBorder="1" applyAlignment="1" applyProtection="1">
      <alignment horizontal="right"/>
    </xf>
  </cellXfs>
  <cellStyles count="47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25" builtinId="10" customBuiltin="1"/>
    <cellStyle name="Huono" xfId="26" builtinId="27" customBuiltin="1"/>
    <cellStyle name="Hyvä" xfId="27" builtinId="26" customBuiltin="1"/>
    <cellStyle name="Laskenta" xfId="28" builtinId="22" customBuiltin="1"/>
    <cellStyle name="Linkitetty solu" xfId="29" builtinId="24" customBuiltin="1"/>
    <cellStyle name="Neutraali" xfId="30" builtinId="28" customBuiltin="1"/>
    <cellStyle name="Normaali" xfId="0" builtinId="0"/>
    <cellStyle name="Normal 2" xfId="31"/>
    <cellStyle name="Normal 3" xfId="32"/>
    <cellStyle name="Normal_Taul23" xfId="33"/>
    <cellStyle name="Normal_Taul3" xfId="34"/>
    <cellStyle name="Otsikko" xfId="35" builtinId="15" customBuiltin="1"/>
    <cellStyle name="Otsikko 1" xfId="36" builtinId="16" customBuiltin="1"/>
    <cellStyle name="Otsikko 2" xfId="37" builtinId="17" customBuiltin="1"/>
    <cellStyle name="Otsikko 3" xfId="38" builtinId="18" customBuiltin="1"/>
    <cellStyle name="Otsikko 4" xfId="39" builtinId="19" customBuiltin="1"/>
    <cellStyle name="Prosenttia" xfId="46" builtinId="5"/>
    <cellStyle name="Selittävä teksti" xfId="40" builtinId="53" customBuiltin="1"/>
    <cellStyle name="Summa" xfId="41" builtinId="25" customBuiltin="1"/>
    <cellStyle name="Syöttö" xfId="42" builtinId="20" customBuiltin="1"/>
    <cellStyle name="Tarkistussolu" xfId="43" builtinId="23" customBuiltin="1"/>
    <cellStyle name="Tulostus" xfId="44" builtinId="21" customBuiltin="1"/>
    <cellStyle name="Varoitusteksti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1927860</xdr:colOff>
      <xdr:row>1</xdr:row>
      <xdr:rowOff>411480</xdr:rowOff>
    </xdr:to>
    <xdr:pic>
      <xdr:nvPicPr>
        <xdr:cNvPr id="15259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897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30480</xdr:rowOff>
    </xdr:from>
    <xdr:to>
      <xdr:col>2</xdr:col>
      <xdr:colOff>1935480</xdr:colOff>
      <xdr:row>1</xdr:row>
      <xdr:rowOff>411480</xdr:rowOff>
    </xdr:to>
    <xdr:pic>
      <xdr:nvPicPr>
        <xdr:cNvPr id="15361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1920240</xdr:colOff>
      <xdr:row>2</xdr:row>
      <xdr:rowOff>0</xdr:rowOff>
    </xdr:to>
    <xdr:pic>
      <xdr:nvPicPr>
        <xdr:cNvPr id="15156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821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15054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14952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30480</xdr:rowOff>
    </xdr:from>
    <xdr:to>
      <xdr:col>1</xdr:col>
      <xdr:colOff>1935480</xdr:colOff>
      <xdr:row>1</xdr:row>
      <xdr:rowOff>411480</xdr:rowOff>
    </xdr:to>
    <xdr:pic>
      <xdr:nvPicPr>
        <xdr:cNvPr id="14849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98120"/>
          <a:ext cx="1897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>
    <pageSetUpPr fitToPage="1"/>
  </sheetPr>
  <dimension ref="A1:N67"/>
  <sheetViews>
    <sheetView tabSelected="1" zoomScale="80" zoomScaleNormal="80" workbookViewId="0">
      <pane xSplit="2" ySplit="5" topLeftCell="H24" activePane="bottomRight" state="frozen"/>
      <selection activeCell="E10" sqref="E10"/>
      <selection pane="topRight" activeCell="E10" sqref="E10"/>
      <selection pane="bottomLeft" activeCell="E10" sqref="E10"/>
      <selection pane="bottomRight" activeCell="I63" sqref="I63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4" width="16.7109375" style="5" customWidth="1"/>
    <col min="15" max="16384" width="9.140625" style="5"/>
  </cols>
  <sheetData>
    <row r="1" spans="1:14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  <c r="L2" s="14" t="s">
        <v>88</v>
      </c>
      <c r="M2" s="14" t="s">
        <v>89</v>
      </c>
      <c r="N2" s="14" t="s">
        <v>90</v>
      </c>
    </row>
    <row r="3" spans="1:14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  <c r="L3" s="14" t="s">
        <v>91</v>
      </c>
      <c r="M3" s="14" t="s">
        <v>91</v>
      </c>
      <c r="N3" s="14" t="s">
        <v>91</v>
      </c>
    </row>
    <row r="4" spans="1:14" x14ac:dyDescent="0.2">
      <c r="A4" s="12"/>
      <c r="B4" s="6" t="s">
        <v>96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">
      <c r="A8" s="20"/>
      <c r="B8" s="3" t="s">
        <v>35</v>
      </c>
      <c r="C8" s="21">
        <f t="shared" ref="C8:G8" si="0">SUM(C9:C12)</f>
        <v>12035025.48</v>
      </c>
      <c r="D8" s="21">
        <f t="shared" si="0"/>
        <v>11960233.199999999</v>
      </c>
      <c r="E8" s="21">
        <f t="shared" si="0"/>
        <v>0</v>
      </c>
      <c r="F8" s="21">
        <f t="shared" si="0"/>
        <v>11960233.199999999</v>
      </c>
      <c r="G8" s="21">
        <f t="shared" si="0"/>
        <v>12068466</v>
      </c>
      <c r="H8" s="21">
        <f>F8-G8</f>
        <v>-108232.80000000075</v>
      </c>
      <c r="I8" s="21">
        <f t="shared" ref="I8" si="1">SUM(I9:I12)</f>
        <v>11805410</v>
      </c>
      <c r="J8" s="44">
        <f>(I8-F8)/F8</f>
        <v>-1.2944831209478362E-2</v>
      </c>
      <c r="K8" s="44">
        <f>(I8-G8)/G8</f>
        <v>-2.1796970716908014E-2</v>
      </c>
      <c r="L8" s="21">
        <f t="shared" ref="L8:N8" si="2">SUM(L9:L12)</f>
        <v>11574.804165313797</v>
      </c>
      <c r="M8" s="21">
        <f t="shared" si="2"/>
        <v>11459.056123660659</v>
      </c>
      <c r="N8" s="21">
        <f t="shared" si="2"/>
        <v>11573.646684897267</v>
      </c>
    </row>
    <row r="9" spans="1:14" x14ac:dyDescent="0.2">
      <c r="A9" s="22" t="s">
        <v>39</v>
      </c>
      <c r="B9" s="23" t="s">
        <v>1</v>
      </c>
      <c r="C9" s="21">
        <f>SUM('VAL YHT:LAIKUIS'!C9)</f>
        <v>4219984.4800000004</v>
      </c>
      <c r="D9" s="21">
        <f>SUM('VAL YHT:LAIKUIS'!D9)</f>
        <v>4036583.4000000004</v>
      </c>
      <c r="E9" s="21">
        <f>SUM('VAL YHT:LAIKUIS'!E9)</f>
        <v>0</v>
      </c>
      <c r="F9" s="21">
        <f>SUM('VAL YHT:LAIKUIS'!F9)</f>
        <v>4036583.4000000004</v>
      </c>
      <c r="G9" s="21">
        <f>SUM('VAL YHT:LAIKUIS'!G9)</f>
        <v>4345046</v>
      </c>
      <c r="H9" s="21">
        <f>SUM('VAL YHT:LAIKUIS'!H9)</f>
        <v>-308462.5999999998</v>
      </c>
      <c r="I9" s="21">
        <f>'VAL YHT'!I9+VAKAOP!I9+VAVARKPA!I9+VAPERUSO!I9+'VARUKAOP '!I9+LALUKIOT!I9+'LAMMATIT '!I9+LAIKUIS!I9</f>
        <v>4123645</v>
      </c>
      <c r="J9" s="44">
        <f t="shared" ref="J9:J29" si="3">(I9-F9)/F9</f>
        <v>2.1568141017475229E-2</v>
      </c>
      <c r="K9" s="44">
        <f t="shared" ref="K9:K29" si="4">(I9-G9)/G9</f>
        <v>-5.0954811525585689E-2</v>
      </c>
      <c r="L9" s="21">
        <v>4043.0940833292034</v>
      </c>
      <c r="M9" s="21">
        <v>4002.6631424959114</v>
      </c>
      <c r="N9" s="21">
        <v>4042.6897739208707</v>
      </c>
    </row>
    <row r="10" spans="1:14" x14ac:dyDescent="0.2">
      <c r="A10" s="22" t="s">
        <v>40</v>
      </c>
      <c r="B10" s="23" t="s">
        <v>41</v>
      </c>
      <c r="C10" s="21">
        <f>SUM('VAL YHT:LAIKUIS'!C10)</f>
        <v>40730</v>
      </c>
      <c r="D10" s="21">
        <f>SUM('VAL YHT:LAIKUIS'!D10)</f>
        <v>60000</v>
      </c>
      <c r="E10" s="21">
        <f>SUM('VAL YHT:LAIKUIS'!E10)</f>
        <v>0</v>
      </c>
      <c r="F10" s="21">
        <f>SUM('VAL YHT:LAIKUIS'!F10)</f>
        <v>60000</v>
      </c>
      <c r="G10" s="21">
        <f>SUM('VAL YHT:LAIKUIS'!G10)</f>
        <v>50000</v>
      </c>
      <c r="H10" s="21">
        <f>SUM('VAL YHT:LAIKUIS'!H10)</f>
        <v>10000</v>
      </c>
      <c r="I10" s="21">
        <f>'VAL YHT'!I10+VAKAOP!I10+VAVARKPA!I10+VAPERUSO!I10+'VARUKAOP '!I10+LALUKIOT!I10+'LAMMATIT '!I10+LAIKUIS!I10</f>
        <v>55000</v>
      </c>
      <c r="J10" s="44">
        <f t="shared" si="3"/>
        <v>-8.3333333333333329E-2</v>
      </c>
      <c r="K10" s="44">
        <f t="shared" si="4"/>
        <v>0.1</v>
      </c>
      <c r="L10" s="21">
        <v>53.925634865054143</v>
      </c>
      <c r="M10" s="21">
        <v>53.386378516403603</v>
      </c>
      <c r="N10" s="21">
        <v>53.92024230156764</v>
      </c>
    </row>
    <row r="11" spans="1:14" x14ac:dyDescent="0.2">
      <c r="A11" s="22" t="s">
        <v>42</v>
      </c>
      <c r="B11" s="23" t="s">
        <v>2</v>
      </c>
      <c r="C11" s="21">
        <f>SUM('VAL YHT:LAIKUIS'!C11)</f>
        <v>6461781.2700000005</v>
      </c>
      <c r="D11" s="21">
        <f>SUM('VAL YHT:LAIKUIS'!D11)</f>
        <v>6551649.8399999999</v>
      </c>
      <c r="E11" s="21">
        <f>SUM('VAL YHT:LAIKUIS'!E11)</f>
        <v>0</v>
      </c>
      <c r="F11" s="21">
        <f>SUM('VAL YHT:LAIKUIS'!F11)</f>
        <v>6551649.8399999999</v>
      </c>
      <c r="G11" s="21">
        <f>SUM('VAL YHT:LAIKUIS'!G11)</f>
        <v>6400000</v>
      </c>
      <c r="H11" s="21">
        <f>SUM('VAL YHT:LAIKUIS'!H11)</f>
        <v>151649.83999999988</v>
      </c>
      <c r="I11" s="21">
        <f>'VAL YHT'!I11+VAKAOP!I11+VAVARKPA!I11+VAPERUSO!I11+'VARUKAOP '!I11+LALUKIOT!I11+'LAMMATIT '!I11+LAIKUIS!I11</f>
        <v>6445060</v>
      </c>
      <c r="J11" s="44">
        <f t="shared" si="3"/>
        <v>-1.6269160074647678E-2</v>
      </c>
      <c r="K11" s="44">
        <f t="shared" si="4"/>
        <v>7.040625E-3</v>
      </c>
      <c r="L11" s="21">
        <v>6319.1627680611973</v>
      </c>
      <c r="M11" s="21">
        <v>6255.971140380585</v>
      </c>
      <c r="N11" s="21">
        <v>6318.5308517843914</v>
      </c>
    </row>
    <row r="12" spans="1:14" x14ac:dyDescent="0.2">
      <c r="A12" s="22" t="s">
        <v>43</v>
      </c>
      <c r="B12" s="23" t="s">
        <v>3</v>
      </c>
      <c r="C12" s="21">
        <f>SUM('VAL YHT:LAIKUIS'!C12)</f>
        <v>1312529.73</v>
      </c>
      <c r="D12" s="21">
        <f>SUM('VAL YHT:LAIKUIS'!D12)</f>
        <v>1311999.96</v>
      </c>
      <c r="E12" s="21">
        <f>SUM('VAL YHT:LAIKUIS'!E12)</f>
        <v>0</v>
      </c>
      <c r="F12" s="21">
        <f>SUM('VAL YHT:LAIKUIS'!F12)</f>
        <v>1311999.96</v>
      </c>
      <c r="G12" s="21">
        <f>SUM('VAL YHT:LAIKUIS'!G12)</f>
        <v>1273420</v>
      </c>
      <c r="H12" s="21">
        <f>SUM('VAL YHT:LAIKUIS'!H12)</f>
        <v>38579.960000000014</v>
      </c>
      <c r="I12" s="21">
        <f>'VAL YHT'!I12+VAKAOP!I12+VAVARKPA!I12+VAPERUSO!I12+'VARUKAOP '!I12+LALUKIOT!I12+'LAMMATIT '!I12+LAIKUIS!I12</f>
        <v>1181705</v>
      </c>
      <c r="J12" s="44">
        <f t="shared" si="3"/>
        <v>-9.9310185954578814E-2</v>
      </c>
      <c r="K12" s="44">
        <f t="shared" si="4"/>
        <v>-7.2022584850245791E-2</v>
      </c>
      <c r="L12" s="21">
        <v>1158.6216790583417</v>
      </c>
      <c r="M12" s="21">
        <v>1147.0354622677582</v>
      </c>
      <c r="N12" s="21">
        <v>1158.5058168904359</v>
      </c>
    </row>
    <row r="13" spans="1:14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">
      <c r="A14" s="25"/>
      <c r="B14" s="3" t="s">
        <v>4</v>
      </c>
      <c r="C14" s="21">
        <f t="shared" ref="C14:G14" si="5">SUM(C15:C20)</f>
        <v>8710980.5700000003</v>
      </c>
      <c r="D14" s="21">
        <f t="shared" si="5"/>
        <v>8560674.839999998</v>
      </c>
      <c r="E14" s="21">
        <f t="shared" si="5"/>
        <v>0</v>
      </c>
      <c r="F14" s="21">
        <f t="shared" si="5"/>
        <v>8560674.839999998</v>
      </c>
      <c r="G14" s="21">
        <f t="shared" si="5"/>
        <v>8618175</v>
      </c>
      <c r="H14" s="21">
        <f t="shared" ref="H14:H25" si="6">F14-G14</f>
        <v>-57500.160000002012</v>
      </c>
      <c r="I14" s="21">
        <f t="shared" ref="I14" si="7">SUM(I15:I20)</f>
        <v>8416575</v>
      </c>
      <c r="J14" s="44">
        <f t="shared" si="3"/>
        <v>-1.683276642241887E-2</v>
      </c>
      <c r="K14" s="44">
        <f t="shared" si="4"/>
        <v>-2.3392423569955356E-2</v>
      </c>
      <c r="L14" s="21">
        <f t="shared" ref="L14:N14" si="8">SUM(L15:L20)</f>
        <v>8252.1663684426021</v>
      </c>
      <c r="M14" s="21">
        <f t="shared" si="8"/>
        <v>8169.6447047581751</v>
      </c>
      <c r="N14" s="21">
        <f t="shared" si="8"/>
        <v>8251.3411518057565</v>
      </c>
    </row>
    <row r="15" spans="1:14" x14ac:dyDescent="0.2">
      <c r="A15" s="22" t="s">
        <v>44</v>
      </c>
      <c r="B15" s="23" t="s">
        <v>5</v>
      </c>
      <c r="C15" s="21">
        <f>SUM('VAL YHT:LAIKUIS'!C15)</f>
        <v>0</v>
      </c>
      <c r="D15" s="21">
        <f>SUM('VAL YHT:LAIKUIS'!D15)</f>
        <v>0</v>
      </c>
      <c r="E15" s="21">
        <f>SUM('VAL YHT:LAIKUIS'!E15)</f>
        <v>0</v>
      </c>
      <c r="F15" s="21">
        <f>SUM('VAL YHT:LAIKUIS'!F15)</f>
        <v>0</v>
      </c>
      <c r="G15" s="21">
        <f>SUM('VAL YHT:LAIKUIS'!G15)</f>
        <v>0</v>
      </c>
      <c r="H15" s="21">
        <f>SUM('VAL YHT:LAIKUIS'!H15)</f>
        <v>0</v>
      </c>
      <c r="I15" s="21">
        <f>'VAL YHT'!I15+VAKAOP!I15+VAVARKPA!I15+VAPERUSO!I15+'VARUKAOP '!I15+LALUKIOT!I15+'LAMMATIT '!I15+LAIKUIS!I15</f>
        <v>0</v>
      </c>
      <c r="J15" s="44">
        <v>0</v>
      </c>
      <c r="K15" s="44">
        <v>0</v>
      </c>
      <c r="L15" s="21">
        <v>0</v>
      </c>
      <c r="M15" s="21">
        <v>0</v>
      </c>
      <c r="N15" s="21">
        <v>0</v>
      </c>
    </row>
    <row r="16" spans="1:14" x14ac:dyDescent="0.2">
      <c r="A16" s="22" t="s">
        <v>45</v>
      </c>
      <c r="B16" s="23" t="s">
        <v>6</v>
      </c>
      <c r="C16" s="21">
        <f>SUM('VAL YHT:LAIKUIS'!C16)</f>
        <v>0</v>
      </c>
      <c r="D16" s="21">
        <f>SUM('VAL YHT:LAIKUIS'!D16)</f>
        <v>0</v>
      </c>
      <c r="E16" s="21">
        <f>SUM('VAL YHT:LAIKUIS'!E16)</f>
        <v>0</v>
      </c>
      <c r="F16" s="21">
        <f>SUM('VAL YHT:LAIKUIS'!F16)</f>
        <v>0</v>
      </c>
      <c r="G16" s="21">
        <f>SUM('VAL YHT:LAIKUIS'!G16)</f>
        <v>0</v>
      </c>
      <c r="H16" s="21">
        <f>SUM('VAL YHT:LAIKUIS'!H16)</f>
        <v>0</v>
      </c>
      <c r="I16" s="21">
        <f>'VAL YHT'!I16+VAKAOP!I16+VAVARKPA!I16+VAPERUSO!I16+'VARUKAOP '!I16+LALUKIOT!I16+'LAMMATIT '!I16+LAIKUIS!I16</f>
        <v>0</v>
      </c>
      <c r="J16" s="44">
        <v>0</v>
      </c>
      <c r="K16" s="44">
        <v>0</v>
      </c>
      <c r="L16" s="21">
        <v>0</v>
      </c>
      <c r="M16" s="21">
        <v>0</v>
      </c>
      <c r="N16" s="21">
        <v>0</v>
      </c>
    </row>
    <row r="17" spans="1:14" x14ac:dyDescent="0.2">
      <c r="A17" s="22" t="s">
        <v>46</v>
      </c>
      <c r="B17" s="23" t="s">
        <v>7</v>
      </c>
      <c r="C17" s="21">
        <f>SUM('VAL YHT:LAIKUIS'!C17)</f>
        <v>7712510.7199999997</v>
      </c>
      <c r="D17" s="21">
        <f>SUM('VAL YHT:LAIKUIS'!D17)</f>
        <v>7748674.6799999997</v>
      </c>
      <c r="E17" s="21">
        <f>SUM('VAL YHT:LAIKUIS'!E17)</f>
        <v>0</v>
      </c>
      <c r="F17" s="21">
        <f>SUM('VAL YHT:LAIKUIS'!F17)</f>
        <v>7748674.6799999997</v>
      </c>
      <c r="G17" s="21">
        <f>SUM('VAL YHT:LAIKUIS'!G17)</f>
        <v>7897675</v>
      </c>
      <c r="H17" s="21">
        <f>SUM('VAL YHT:LAIKUIS'!H17)</f>
        <v>-149000.32000000024</v>
      </c>
      <c r="I17" s="21">
        <f>'VAL YHT'!I17+VAKAOP!I17+VAVARKPA!I17+VAPERUSO!I17+'VARUKAOP '!I17+LALUKIOT!I17+'LAMMATIT '!I17+LAIKUIS!I17</f>
        <v>7665075</v>
      </c>
      <c r="J17" s="44">
        <f t="shared" si="3"/>
        <v>-1.0788900483301708E-2</v>
      </c>
      <c r="K17" s="44">
        <f t="shared" si="4"/>
        <v>-2.9451705723519898E-2</v>
      </c>
      <c r="L17" s="21">
        <v>7515.3461029682703</v>
      </c>
      <c r="M17" s="21">
        <v>7440.1926419385873</v>
      </c>
      <c r="N17" s="21">
        <v>7514.5945683579739</v>
      </c>
    </row>
    <row r="18" spans="1:14" x14ac:dyDescent="0.2">
      <c r="A18" s="22" t="s">
        <v>47</v>
      </c>
      <c r="B18" s="23" t="s">
        <v>8</v>
      </c>
      <c r="C18" s="21">
        <f>SUM('VAL YHT:LAIKUIS'!C18)</f>
        <v>911728.19</v>
      </c>
      <c r="D18" s="21">
        <f>SUM('VAL YHT:LAIKUIS'!D18)</f>
        <v>810000.12</v>
      </c>
      <c r="E18" s="21">
        <f>SUM('VAL YHT:LAIKUIS'!E18)</f>
        <v>0</v>
      </c>
      <c r="F18" s="21">
        <f>SUM('VAL YHT:LAIKUIS'!F18)</f>
        <v>810000.12</v>
      </c>
      <c r="G18" s="21">
        <f>SUM('VAL YHT:LAIKUIS'!G18)</f>
        <v>700400</v>
      </c>
      <c r="H18" s="21">
        <f>SUM('VAL YHT:LAIKUIS'!H18)</f>
        <v>109600.12</v>
      </c>
      <c r="I18" s="21">
        <f>'VAL YHT'!I18+VAKAOP!I18+VAVARKPA!I18+VAPERUSO!I18+'VARUKAOP '!I18+LALUKIOT!I18+'LAMMATIT '!I18+LAIKUIS!I18</f>
        <v>715000</v>
      </c>
      <c r="J18" s="44">
        <f t="shared" si="3"/>
        <v>-0.11728408139001263</v>
      </c>
      <c r="K18" s="44">
        <f t="shared" si="4"/>
        <v>2.0845231296402054E-2</v>
      </c>
      <c r="L18" s="21">
        <v>701.03325324570392</v>
      </c>
      <c r="M18" s="21">
        <v>694.02292071324689</v>
      </c>
      <c r="N18" s="21">
        <v>700.96314992037935</v>
      </c>
    </row>
    <row r="19" spans="1:14" x14ac:dyDescent="0.2">
      <c r="A19" s="22" t="s">
        <v>48</v>
      </c>
      <c r="B19" s="23" t="s">
        <v>9</v>
      </c>
      <c r="C19" s="21">
        <f>SUM('VAL YHT:LAIKUIS'!C19)</f>
        <v>0</v>
      </c>
      <c r="D19" s="21">
        <f>SUM('VAL YHT:LAIKUIS'!D19)</f>
        <v>0</v>
      </c>
      <c r="E19" s="21">
        <f>SUM('VAL YHT:LAIKUIS'!E19)</f>
        <v>0</v>
      </c>
      <c r="F19" s="21">
        <f>SUM('VAL YHT:LAIKUIS'!F19)</f>
        <v>0</v>
      </c>
      <c r="G19" s="21">
        <f>SUM('VAL YHT:LAIKUIS'!G19)</f>
        <v>0</v>
      </c>
      <c r="H19" s="21">
        <f>SUM('VAL YHT:LAIKUIS'!H19)</f>
        <v>0</v>
      </c>
      <c r="I19" s="21">
        <f>'VAL YHT'!I19+VAKAOP!I19+VAVARKPA!I19+VAPERUSO!I19+'VARUKAOP '!I19+LALUKIOT!I19+'LAMMATIT '!I19+LAIKUIS!I19</f>
        <v>0</v>
      </c>
      <c r="J19" s="44">
        <v>0</v>
      </c>
      <c r="K19" s="44">
        <v>0</v>
      </c>
      <c r="L19" s="21">
        <v>0</v>
      </c>
      <c r="M19" s="21">
        <v>0</v>
      </c>
      <c r="N19" s="21">
        <v>0</v>
      </c>
    </row>
    <row r="20" spans="1:14" x14ac:dyDescent="0.2">
      <c r="A20" s="22" t="s">
        <v>49</v>
      </c>
      <c r="B20" s="23" t="s">
        <v>10</v>
      </c>
      <c r="C20" s="21">
        <f>SUM('VAL YHT:LAIKUIS'!C20)</f>
        <v>86741.66</v>
      </c>
      <c r="D20" s="21">
        <f>SUM('VAL YHT:LAIKUIS'!D20)</f>
        <v>2000.04</v>
      </c>
      <c r="E20" s="21">
        <f>SUM('VAL YHT:LAIKUIS'!E20)</f>
        <v>0</v>
      </c>
      <c r="F20" s="21">
        <f>SUM('VAL YHT:LAIKUIS'!F20)</f>
        <v>2000.04</v>
      </c>
      <c r="G20" s="21">
        <f>SUM('VAL YHT:LAIKUIS'!G20)</f>
        <v>20100</v>
      </c>
      <c r="H20" s="21">
        <f>SUM('VAL YHT:LAIKUIS'!H20)</f>
        <v>-18099.96</v>
      </c>
      <c r="I20" s="21">
        <f>'VAL YHT'!I20+VAKAOP!I20+VAVARKPA!I20+VAPERUSO!I20+'VARUKAOP '!I20+LALUKIOT!I20+'LAMMATIT '!I20+LAIKUIS!I20</f>
        <v>36500</v>
      </c>
      <c r="J20" s="44">
        <f t="shared" si="3"/>
        <v>17.249635007299855</v>
      </c>
      <c r="K20" s="44">
        <f t="shared" si="4"/>
        <v>0.8159203980099502</v>
      </c>
      <c r="L20" s="21">
        <v>35.787012228626836</v>
      </c>
      <c r="M20" s="21">
        <v>35.429142106340571</v>
      </c>
      <c r="N20" s="21">
        <v>35.783433527403979</v>
      </c>
    </row>
    <row r="21" spans="1:14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">
      <c r="A22" s="25"/>
      <c r="B22" s="3" t="s">
        <v>11</v>
      </c>
      <c r="C22" s="21">
        <f t="shared" ref="C22:I22" si="9">SUM(C23)</f>
        <v>7130837.8900000006</v>
      </c>
      <c r="D22" s="21">
        <f t="shared" si="9"/>
        <v>5359992.96</v>
      </c>
      <c r="E22" s="21">
        <f t="shared" si="9"/>
        <v>0</v>
      </c>
      <c r="F22" s="21">
        <f t="shared" si="9"/>
        <v>5359992.96</v>
      </c>
      <c r="G22" s="21">
        <f t="shared" si="9"/>
        <v>9950250</v>
      </c>
      <c r="H22" s="21">
        <f t="shared" si="6"/>
        <v>-4590257.04</v>
      </c>
      <c r="I22" s="21">
        <f t="shared" si="9"/>
        <v>6890781</v>
      </c>
      <c r="J22" s="44">
        <f t="shared" si="3"/>
        <v>0.28559515869214874</v>
      </c>
      <c r="K22" s="44">
        <f t="shared" si="4"/>
        <v>-0.30747659606542549</v>
      </c>
      <c r="L22" s="21">
        <f t="shared" ref="L22:N22" si="10">SUM(L23)</f>
        <v>6756.1770934736842</v>
      </c>
      <c r="M22" s="21">
        <f t="shared" si="10"/>
        <v>6688.6153225389471</v>
      </c>
      <c r="N22" s="21">
        <f t="shared" si="10"/>
        <v>6755.5014757643366</v>
      </c>
    </row>
    <row r="23" spans="1:14" x14ac:dyDescent="0.2">
      <c r="A23" s="22" t="s">
        <v>50</v>
      </c>
      <c r="B23" s="23" t="s">
        <v>11</v>
      </c>
      <c r="C23" s="21">
        <f>SUM('VAL YHT:LAIKUIS'!C23)</f>
        <v>7130837.8900000006</v>
      </c>
      <c r="D23" s="21">
        <f>SUM('VAL YHT:LAIKUIS'!D23)</f>
        <v>5359992.96</v>
      </c>
      <c r="E23" s="21">
        <f>SUM('VAL YHT:LAIKUIS'!E23)</f>
        <v>0</v>
      </c>
      <c r="F23" s="21">
        <f>SUM('VAL YHT:LAIKUIS'!F23)</f>
        <v>5359992.96</v>
      </c>
      <c r="G23" s="21">
        <f>SUM('VAL YHT:LAIKUIS'!G23)</f>
        <v>9950250</v>
      </c>
      <c r="H23" s="21">
        <f>SUM('VAL YHT:LAIKUIS'!H23)</f>
        <v>-4590257.04</v>
      </c>
      <c r="I23" s="21">
        <f>'VAL YHT'!I23+VAKAOP!I23+VAVARKPA!I23+VAPERUSO!I23+'VARUKAOP '!I23+LALUKIOT!I23+'LAMMATIT '!I23+LAIKUIS!I23</f>
        <v>6890781</v>
      </c>
      <c r="J23" s="44">
        <f t="shared" si="3"/>
        <v>0.28559515869214874</v>
      </c>
      <c r="K23" s="44">
        <f t="shared" si="4"/>
        <v>-0.30747659606542549</v>
      </c>
      <c r="L23" s="21">
        <v>6756.1770934736842</v>
      </c>
      <c r="M23" s="21">
        <v>6688.6153225389471</v>
      </c>
      <c r="N23" s="21">
        <v>6755.5014757643366</v>
      </c>
    </row>
    <row r="24" spans="1:14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5"/>
      <c r="B25" s="3" t="s">
        <v>12</v>
      </c>
      <c r="C25" s="21">
        <f t="shared" ref="C25:I25" si="11">SUM(C26)</f>
        <v>341189.31999999995</v>
      </c>
      <c r="D25" s="21">
        <f t="shared" si="11"/>
        <v>79820.040000000008</v>
      </c>
      <c r="E25" s="21">
        <f t="shared" si="11"/>
        <v>0</v>
      </c>
      <c r="F25" s="21">
        <f t="shared" si="11"/>
        <v>79820.040000000008</v>
      </c>
      <c r="G25" s="21">
        <f t="shared" si="11"/>
        <v>108051.68</v>
      </c>
      <c r="H25" s="21">
        <f t="shared" si="6"/>
        <v>-28231.639999999985</v>
      </c>
      <c r="I25" s="21">
        <f t="shared" si="11"/>
        <v>66420</v>
      </c>
      <c r="J25" s="44">
        <f t="shared" si="3"/>
        <v>-0.16787814188015951</v>
      </c>
      <c r="K25" s="44">
        <f t="shared" si="4"/>
        <v>-0.38529414813355978</v>
      </c>
      <c r="L25" s="21">
        <f t="shared" ref="L25:N25" si="12">SUM(L26)</f>
        <v>65.122557595216293</v>
      </c>
      <c r="M25" s="21">
        <f t="shared" si="12"/>
        <v>64.471332019264125</v>
      </c>
      <c r="N25" s="21">
        <f t="shared" si="12"/>
        <v>65.116045339456775</v>
      </c>
    </row>
    <row r="26" spans="1:14" x14ac:dyDescent="0.2">
      <c r="A26" s="22" t="s">
        <v>51</v>
      </c>
      <c r="B26" s="23" t="s">
        <v>12</v>
      </c>
      <c r="C26" s="21">
        <f>SUM('VAL YHT:LAIKUIS'!C26)</f>
        <v>341189.31999999995</v>
      </c>
      <c r="D26" s="21">
        <f>SUM('VAL YHT:LAIKUIS'!D26)</f>
        <v>79820.040000000008</v>
      </c>
      <c r="E26" s="21">
        <f>SUM('VAL YHT:LAIKUIS'!E26)</f>
        <v>0</v>
      </c>
      <c r="F26" s="21">
        <f>SUM('VAL YHT:LAIKUIS'!F26)</f>
        <v>79820.040000000008</v>
      </c>
      <c r="G26" s="21">
        <f>SUM('VAL YHT:LAIKUIS'!G26)</f>
        <v>108051.68</v>
      </c>
      <c r="H26" s="21">
        <f>SUM('VAL YHT:LAIKUIS'!H26)</f>
        <v>-28231.64</v>
      </c>
      <c r="I26" s="21">
        <f>'VAL YHT'!I26+VAKAOP!I26+VAVARKPA!I26+VAPERUSO!I26+'VARUKAOP '!I26+LALUKIOT!I26+'LAMMATIT '!I26+LAIKUIS!I26</f>
        <v>66420</v>
      </c>
      <c r="J26" s="44">
        <f t="shared" si="3"/>
        <v>-0.16787814188015951</v>
      </c>
      <c r="K26" s="44">
        <f t="shared" si="4"/>
        <v>-0.38529414813355978</v>
      </c>
      <c r="L26" s="21">
        <v>65.122557595216293</v>
      </c>
      <c r="M26" s="21">
        <v>64.471332019264125</v>
      </c>
      <c r="N26" s="21">
        <v>65.116045339456775</v>
      </c>
    </row>
    <row r="27" spans="1:14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">
      <c r="A28" s="25"/>
      <c r="B28" s="3" t="s">
        <v>13</v>
      </c>
      <c r="C28" s="21">
        <f t="shared" ref="C28:I28" si="13">SUM(C29)</f>
        <v>398384.14</v>
      </c>
      <c r="D28" s="21">
        <f t="shared" si="13"/>
        <v>264000</v>
      </c>
      <c r="E28" s="21">
        <f t="shared" si="13"/>
        <v>0</v>
      </c>
      <c r="F28" s="21">
        <f t="shared" si="13"/>
        <v>264000</v>
      </c>
      <c r="G28" s="21">
        <f t="shared" si="13"/>
        <v>390620</v>
      </c>
      <c r="H28" s="21">
        <f t="shared" si="13"/>
        <v>-126620</v>
      </c>
      <c r="I28" s="21">
        <f t="shared" si="13"/>
        <v>960600</v>
      </c>
      <c r="J28" s="44">
        <f t="shared" si="3"/>
        <v>2.6386363636363637</v>
      </c>
      <c r="K28" s="44">
        <f t="shared" si="4"/>
        <v>1.45916747734371</v>
      </c>
      <c r="L28" s="21">
        <f t="shared" ref="L28:N28" si="14">SUM(L29)</f>
        <v>941.8357245703819</v>
      </c>
      <c r="M28" s="21">
        <f t="shared" si="14"/>
        <v>932.41736732467814</v>
      </c>
      <c r="N28" s="21">
        <f t="shared" si="14"/>
        <v>941.74154099792497</v>
      </c>
    </row>
    <row r="29" spans="1:14" x14ac:dyDescent="0.2">
      <c r="A29" s="22" t="s">
        <v>52</v>
      </c>
      <c r="B29" s="23" t="s">
        <v>13</v>
      </c>
      <c r="C29" s="21">
        <f>SUM('VAL YHT:LAIKUIS'!C29)</f>
        <v>398384.14</v>
      </c>
      <c r="D29" s="21">
        <f>SUM('VAL YHT:LAIKUIS'!D29)</f>
        <v>264000</v>
      </c>
      <c r="E29" s="21">
        <f>SUM('VAL YHT:LAIKUIS'!E29)</f>
        <v>0</v>
      </c>
      <c r="F29" s="21">
        <f>SUM('VAL YHT:LAIKUIS'!F29)</f>
        <v>264000</v>
      </c>
      <c r="G29" s="21">
        <f>SUM('VAL YHT:LAIKUIS'!G29)</f>
        <v>390620</v>
      </c>
      <c r="H29" s="21">
        <f>SUM('VAL YHT:LAIKUIS'!H29)</f>
        <v>-126620</v>
      </c>
      <c r="I29" s="21">
        <f>'VAL YHT'!I29+VAKAOP!I29+VAVARKPA!I29+VAPERUSO!I29+'VARUKAOP '!I29+LALUKIOT!I29+'LAMMATIT '!I29+LAIKUIS!I29</f>
        <v>960600</v>
      </c>
      <c r="J29" s="44">
        <f t="shared" si="3"/>
        <v>2.6386363636363637</v>
      </c>
      <c r="K29" s="44">
        <f t="shared" si="4"/>
        <v>1.45916747734371</v>
      </c>
      <c r="L29" s="21">
        <v>941.8357245703819</v>
      </c>
      <c r="M29" s="21">
        <v>932.41736732467814</v>
      </c>
      <c r="N29" s="21">
        <v>941.74154099792497</v>
      </c>
    </row>
    <row r="30" spans="1:14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15" x14ac:dyDescent="0.25">
      <c r="A31" s="33"/>
      <c r="B31" s="27" t="s">
        <v>14</v>
      </c>
      <c r="C31" s="28">
        <f t="shared" ref="C31:G31" si="15">C28+C25+C22+C14+C8</f>
        <v>28616417.400000002</v>
      </c>
      <c r="D31" s="28">
        <f t="shared" si="15"/>
        <v>26224721.039999999</v>
      </c>
      <c r="E31" s="28">
        <f t="shared" si="15"/>
        <v>0</v>
      </c>
      <c r="F31" s="28">
        <f t="shared" si="15"/>
        <v>26224721.039999999</v>
      </c>
      <c r="G31" s="28">
        <f t="shared" si="15"/>
        <v>31135562.68</v>
      </c>
      <c r="H31" s="28">
        <f t="shared" ref="H31" si="16">F31-G31</f>
        <v>-4910841.6400000006</v>
      </c>
      <c r="I31" s="28">
        <f t="shared" ref="I31:N31" si="17">I28+I25+I22+I14+I8</f>
        <v>28139786</v>
      </c>
      <c r="J31" s="45">
        <f t="shared" ref="J31" si="18">(I31-F31)/F31</f>
        <v>7.3025179451060462E-2</v>
      </c>
      <c r="K31" s="45">
        <f t="shared" ref="K31" si="19">(I31-G31)/G31</f>
        <v>-9.6217200594365476E-2</v>
      </c>
      <c r="L31" s="28">
        <f t="shared" si="17"/>
        <v>27590.105909395679</v>
      </c>
      <c r="M31" s="28">
        <f t="shared" si="17"/>
        <v>27314.204850301721</v>
      </c>
      <c r="N31" s="28">
        <f t="shared" si="17"/>
        <v>27587.346898804743</v>
      </c>
    </row>
    <row r="32" spans="1:14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5"/>
      <c r="B33" s="3" t="s">
        <v>15</v>
      </c>
      <c r="C33" s="21">
        <f t="shared" ref="C33:N33" si="20">SUM(C34)</f>
        <v>0</v>
      </c>
      <c r="D33" s="21">
        <f t="shared" si="20"/>
        <v>0</v>
      </c>
      <c r="E33" s="21">
        <f t="shared" si="20"/>
        <v>0</v>
      </c>
      <c r="F33" s="21">
        <f t="shared" si="20"/>
        <v>0</v>
      </c>
      <c r="G33" s="21">
        <f t="shared" si="20"/>
        <v>0</v>
      </c>
      <c r="H33" s="21">
        <f>IF(G33=0,0,G33-F33)</f>
        <v>0</v>
      </c>
      <c r="I33" s="21">
        <f t="shared" si="20"/>
        <v>0</v>
      </c>
      <c r="J33" s="21">
        <v>0</v>
      </c>
      <c r="K33" s="21">
        <v>0</v>
      </c>
      <c r="L33" s="21">
        <f t="shared" si="20"/>
        <v>0</v>
      </c>
      <c r="M33" s="21">
        <f>IF(L33=0,0,L33-I33)</f>
        <v>0</v>
      </c>
      <c r="N33" s="21">
        <f t="shared" si="20"/>
        <v>0</v>
      </c>
    </row>
    <row r="34" spans="1:14" x14ac:dyDescent="0.2">
      <c r="A34" s="22" t="s">
        <v>53</v>
      </c>
      <c r="B34" s="23" t="s">
        <v>15</v>
      </c>
      <c r="C34" s="21">
        <f>SUM('VAL YHT:LAIKUIS'!C34)</f>
        <v>0</v>
      </c>
      <c r="D34" s="21">
        <f>SUM('VAL YHT:LAIKUIS'!D34)</f>
        <v>0</v>
      </c>
      <c r="E34" s="21">
        <f>SUM('VAL YHT:LAIKUIS'!E34)</f>
        <v>0</v>
      </c>
      <c r="F34" s="21">
        <f>SUM('VAL YHT:LAIKUIS'!F34)</f>
        <v>0</v>
      </c>
      <c r="G34" s="21">
        <f>SUM('VAL YHT:LAIKUIS'!G34)</f>
        <v>0</v>
      </c>
      <c r="H34" s="21">
        <f>SUM('VAL YHT:LAIKUIS'!H34)</f>
        <v>0</v>
      </c>
      <c r="I34" s="21">
        <f>'VAL YHT'!I34+VAKAOP!I34+VAVARKPA!I34+VAPERUSO!I34+'VARUKAOP '!I34+LALUKIOT!I34+'LAMMATIT '!I34+LAIKUIS!I34</f>
        <v>0</v>
      </c>
      <c r="J34" s="21">
        <v>0</v>
      </c>
      <c r="K34" s="21">
        <v>0</v>
      </c>
      <c r="L34" s="21">
        <f>I34+$L$65*I34%</f>
        <v>0</v>
      </c>
      <c r="M34" s="21">
        <f>L34+$M$65*L34%</f>
        <v>0</v>
      </c>
      <c r="N34" s="21">
        <f>M34+$N$65*M34%</f>
        <v>0</v>
      </c>
    </row>
    <row r="35" spans="1:14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">
      <c r="A38" s="25"/>
      <c r="B38" s="29" t="s">
        <v>36</v>
      </c>
      <c r="C38" s="21">
        <f>SUM(C39:C42)</f>
        <v>176992010.64000002</v>
      </c>
      <c r="D38" s="21">
        <f>SUM(D39:D42)</f>
        <v>179165815.08000001</v>
      </c>
      <c r="E38" s="21">
        <f>SUM(E39:E42)</f>
        <v>-1434196.32</v>
      </c>
      <c r="F38" s="21">
        <f>SUM(F39:F42)</f>
        <v>177731618.75999999</v>
      </c>
      <c r="G38" s="21">
        <f>SUM(G39:G42)</f>
        <v>181188976.69999999</v>
      </c>
      <c r="H38" s="21">
        <f t="shared" ref="H38:H57" si="21">F38-G38</f>
        <v>-3457357.9399999976</v>
      </c>
      <c r="I38" s="21">
        <f>SUM(I39:I42)</f>
        <v>175421726</v>
      </c>
      <c r="J38" s="44">
        <f t="shared" ref="J38:J42" si="22">(I38-F38)/F38</f>
        <v>-1.2996521249936712E-2</v>
      </c>
      <c r="K38" s="44">
        <f t="shared" ref="K38:K42" si="23">(I38-G38)/G38</f>
        <v>-3.1830030750430241E-2</v>
      </c>
      <c r="L38" s="21">
        <f>SUM(L39:L42)</f>
        <v>171676.40204258967</v>
      </c>
      <c r="M38" s="21">
        <f t="shared" ref="M38:N38" si="24">SUM(M39:M42)</f>
        <v>169959.6380221638</v>
      </c>
      <c r="N38" s="21">
        <f t="shared" si="24"/>
        <v>171659.23440238542</v>
      </c>
    </row>
    <row r="39" spans="1:14" x14ac:dyDescent="0.2">
      <c r="A39" s="22" t="s">
        <v>54</v>
      </c>
      <c r="B39" s="23" t="s">
        <v>17</v>
      </c>
      <c r="C39" s="21">
        <f>SUM('VAL YHT:LAIKUIS'!C39)</f>
        <v>141028725.47999999</v>
      </c>
      <c r="D39" s="21">
        <f>SUM('VAL YHT:LAIKUIS'!D39)</f>
        <v>141291511.19999999</v>
      </c>
      <c r="E39" s="21">
        <f>SUM('VAL YHT:LAIKUIS'!E39)</f>
        <v>-1065630.48</v>
      </c>
      <c r="F39" s="21">
        <f>SUM('VAL YHT:LAIKUIS'!F39)</f>
        <v>140225880.72</v>
      </c>
      <c r="G39" s="21">
        <f>SUM('VAL YHT:LAIKUIS'!G39)</f>
        <v>143649044</v>
      </c>
      <c r="H39" s="21">
        <f>SUM('VAL YHT:LAIKUIS'!H39)</f>
        <v>-3423163.2800000082</v>
      </c>
      <c r="I39" s="21">
        <f>'VAL YHT'!I39+VAKAOP!I39+VAVARKPA!I39+VAPERUSO!I39+'VARUKAOP '!I39+LALUKIOT!I39+'LAMMATIT '!I39+LAIKUIS!I39</f>
        <v>137532503</v>
      </c>
      <c r="J39" s="44">
        <f t="shared" si="22"/>
        <v>-1.9207422382877218E-2</v>
      </c>
      <c r="K39" s="44">
        <f t="shared" si="23"/>
        <v>-4.2579754307310251E-2</v>
      </c>
      <c r="L39" s="21">
        <v>134590.73796815128</v>
      </c>
      <c r="M39" s="21">
        <v>133244.83058846978</v>
      </c>
      <c r="N39" s="21">
        <v>134577.27889435447</v>
      </c>
    </row>
    <row r="40" spans="1:14" x14ac:dyDescent="0.2">
      <c r="A40" s="22" t="s">
        <v>55</v>
      </c>
      <c r="B40" s="23" t="s">
        <v>18</v>
      </c>
      <c r="C40" s="21">
        <f>SUM('VAL YHT:LAIKUIS'!C40)</f>
        <v>30927014.610000003</v>
      </c>
      <c r="D40" s="21">
        <f>SUM('VAL YHT:LAIKUIS'!D40)</f>
        <v>30724934.52</v>
      </c>
      <c r="E40" s="21">
        <f>SUM('VAL YHT:LAIKUIS'!E40)</f>
        <v>-133398.12</v>
      </c>
      <c r="F40" s="21">
        <f>SUM('VAL YHT:LAIKUIS'!F40)</f>
        <v>30591536.400000002</v>
      </c>
      <c r="G40" s="21">
        <f>SUM('VAL YHT:LAIKUIS'!G40)</f>
        <v>32177819.699999999</v>
      </c>
      <c r="H40" s="21">
        <f>SUM('VAL YHT:LAIKUIS'!H40)</f>
        <v>-1586283.3000000005</v>
      </c>
      <c r="I40" s="21">
        <f>'VAL YHT'!I40+VAKAOP!I40+VAVARKPA!I40+VAPERUSO!I40+'VARUKAOP '!I40+LALUKIOT!I40+'LAMMATIT '!I40+LAIKUIS!I40</f>
        <v>31218612</v>
      </c>
      <c r="J40" s="44">
        <f t="shared" si="22"/>
        <v>2.0498336265320681E-2</v>
      </c>
      <c r="K40" s="44">
        <f t="shared" si="23"/>
        <v>-2.9809592723897303E-2</v>
      </c>
      <c r="L40" s="21">
        <v>30560.515185853583</v>
      </c>
      <c r="M40" s="21">
        <v>30254.910033995046</v>
      </c>
      <c r="N40" s="21">
        <v>30557.459134334997</v>
      </c>
    </row>
    <row r="41" spans="1:14" x14ac:dyDescent="0.2">
      <c r="A41" s="22" t="s">
        <v>56</v>
      </c>
      <c r="B41" s="23" t="s">
        <v>19</v>
      </c>
      <c r="C41" s="21">
        <f>SUM('VAL YHT:LAIKUIS'!C41)</f>
        <v>8463677.8900000006</v>
      </c>
      <c r="D41" s="21">
        <f>SUM('VAL YHT:LAIKUIS'!D41)</f>
        <v>8530277.6400000006</v>
      </c>
      <c r="E41" s="21">
        <f>SUM('VAL YHT:LAIKUIS'!E41)</f>
        <v>-108573.48000000001</v>
      </c>
      <c r="F41" s="21">
        <f>SUM('VAL YHT:LAIKUIS'!F41)</f>
        <v>8421704.1599999983</v>
      </c>
      <c r="G41" s="21">
        <f>SUM('VAL YHT:LAIKUIS'!G41)</f>
        <v>8533320</v>
      </c>
      <c r="H41" s="21">
        <f>SUM('VAL YHT:LAIKUIS'!H41)</f>
        <v>-111615.8400000002</v>
      </c>
      <c r="I41" s="21">
        <f>'VAL YHT'!I41+VAKAOP!I41+VAVARKPA!I41+VAPERUSO!I41+'VARUKAOP '!I41+LALUKIOT!I41+'LAMMATIT '!I41+LAIKUIS!I41</f>
        <v>8196552</v>
      </c>
      <c r="J41" s="44">
        <f t="shared" si="22"/>
        <v>-2.6734750559083795E-2</v>
      </c>
      <c r="K41" s="44">
        <f t="shared" si="23"/>
        <v>-3.9465061664158849E-2</v>
      </c>
      <c r="L41" s="21">
        <v>8021.2822920687395</v>
      </c>
      <c r="M41" s="21">
        <v>7941.0694691480521</v>
      </c>
      <c r="N41" s="21">
        <v>8020.4801638395329</v>
      </c>
    </row>
    <row r="42" spans="1:14" x14ac:dyDescent="0.2">
      <c r="A42" s="22" t="s">
        <v>57</v>
      </c>
      <c r="B42" s="23" t="s">
        <v>20</v>
      </c>
      <c r="C42" s="21">
        <f>SUM('VAL YHT:LAIKUIS'!C42)</f>
        <v>-3427407.3400000003</v>
      </c>
      <c r="D42" s="21">
        <f>SUM('VAL YHT:LAIKUIS'!D42)</f>
        <v>-1380908.28</v>
      </c>
      <c r="E42" s="21">
        <f>SUM('VAL YHT:LAIKUIS'!E42)</f>
        <v>-126594.24000000001</v>
      </c>
      <c r="F42" s="21">
        <f>SUM('VAL YHT:LAIKUIS'!F42)</f>
        <v>-1507502.52</v>
      </c>
      <c r="G42" s="21">
        <f>SUM('VAL YHT:LAIKUIS'!G42)</f>
        <v>-3171207</v>
      </c>
      <c r="H42" s="21">
        <f>SUM('VAL YHT:LAIKUIS'!H42)</f>
        <v>1663704.48</v>
      </c>
      <c r="I42" s="21">
        <f>'VAL YHT'!I42+VAKAOP!I42+VAVARKPA!I42+VAPERUSO!I42+'VARUKAOP '!I42+LALUKIOT!I42+'LAMMATIT '!I42+LAIKUIS!I42</f>
        <v>-1525941</v>
      </c>
      <c r="J42" s="44">
        <f t="shared" si="22"/>
        <v>1.2231143733013448E-2</v>
      </c>
      <c r="K42" s="44">
        <f t="shared" si="23"/>
        <v>-0.51881381442460239</v>
      </c>
      <c r="L42" s="21">
        <v>-1496.1334034839197</v>
      </c>
      <c r="M42" s="21">
        <v>-1481.1720694490805</v>
      </c>
      <c r="N42" s="21">
        <v>-1495.9837901435715</v>
      </c>
    </row>
    <row r="43" spans="1:14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5"/>
      <c r="B44" s="29" t="s">
        <v>37</v>
      </c>
      <c r="C44" s="21">
        <f t="shared" ref="C44:G44" si="25">SUM(C45:C46)</f>
        <v>48784156.190000005</v>
      </c>
      <c r="D44" s="21">
        <f t="shared" si="25"/>
        <v>48406724.640000001</v>
      </c>
      <c r="E44" s="21">
        <f t="shared" si="25"/>
        <v>220485.03999999995</v>
      </c>
      <c r="F44" s="21">
        <f t="shared" si="25"/>
        <v>48627209.68</v>
      </c>
      <c r="G44" s="21">
        <f t="shared" si="25"/>
        <v>49844579</v>
      </c>
      <c r="H44" s="21">
        <f t="shared" si="21"/>
        <v>-1217369.3200000003</v>
      </c>
      <c r="I44" s="21">
        <f t="shared" ref="I44" si="26">SUM(I45:I46)</f>
        <v>49093038</v>
      </c>
      <c r="J44" s="44">
        <f t="shared" ref="J44:J46" si="27">(I44-F44)/F44</f>
        <v>9.5795815360467194E-3</v>
      </c>
      <c r="K44" s="44">
        <f t="shared" ref="K44:K46" si="28">(I44-G44)/G44</f>
        <v>-1.5077687786268593E-2</v>
      </c>
      <c r="L44" s="21">
        <f t="shared" ref="L44:N44" si="29">SUM(L45:L46)</f>
        <v>48134.058938258684</v>
      </c>
      <c r="M44" s="21">
        <f t="shared" si="29"/>
        <v>47652.7183488761</v>
      </c>
      <c r="N44" s="21">
        <f t="shared" si="29"/>
        <v>48129.245532364868</v>
      </c>
    </row>
    <row r="45" spans="1:14" x14ac:dyDescent="0.2">
      <c r="A45" s="22" t="s">
        <v>58</v>
      </c>
      <c r="B45" s="23" t="s">
        <v>21</v>
      </c>
      <c r="C45" s="21">
        <f>SUM('VAL YHT:LAIKUIS'!C45)</f>
        <v>9716988.3900000006</v>
      </c>
      <c r="D45" s="21">
        <f>SUM('VAL YHT:LAIKUIS'!D45)</f>
        <v>9081390</v>
      </c>
      <c r="E45" s="21">
        <f>SUM('VAL YHT:LAIKUIS'!E45)</f>
        <v>-20000</v>
      </c>
      <c r="F45" s="21">
        <f>SUM('VAL YHT:LAIKUIS'!F45)</f>
        <v>9061390</v>
      </c>
      <c r="G45" s="21">
        <f>SUM('VAL YHT:LAIKUIS'!G45)</f>
        <v>9460450</v>
      </c>
      <c r="H45" s="21">
        <f>SUM('VAL YHT:LAIKUIS'!H45)</f>
        <v>-399060</v>
      </c>
      <c r="I45" s="21">
        <f>'VAL YHT'!I45+VAKAOP!I45+VAVARKPA!I45+VAPERUSO!I45+'VARUKAOP '!I45+LALUKIOT!I45+'LAMMATIT '!I45+LAIKUIS!I45</f>
        <v>9024232</v>
      </c>
      <c r="J45" s="44">
        <f t="shared" si="27"/>
        <v>-4.1006953679292033E-3</v>
      </c>
      <c r="K45" s="44">
        <f t="shared" si="28"/>
        <v>-4.6109645947074396E-2</v>
      </c>
      <c r="L45" s="21">
        <v>8847.9534503552222</v>
      </c>
      <c r="M45" s="21">
        <v>8759.4739158516695</v>
      </c>
      <c r="N45" s="21">
        <v>8847.0686550101873</v>
      </c>
    </row>
    <row r="46" spans="1:14" x14ac:dyDescent="0.2">
      <c r="A46" s="22" t="s">
        <v>59</v>
      </c>
      <c r="B46" s="23" t="s">
        <v>22</v>
      </c>
      <c r="C46" s="21">
        <f>SUM('VAL YHT:LAIKUIS'!C46)</f>
        <v>39067167.800000004</v>
      </c>
      <c r="D46" s="21">
        <f>SUM('VAL YHT:LAIKUIS'!D46)</f>
        <v>39325334.640000001</v>
      </c>
      <c r="E46" s="21">
        <f>SUM('VAL YHT:LAIKUIS'!E46)</f>
        <v>240485.03999999995</v>
      </c>
      <c r="F46" s="21">
        <f>SUM('VAL YHT:LAIKUIS'!F46)</f>
        <v>39565819.68</v>
      </c>
      <c r="G46" s="21">
        <f>SUM('VAL YHT:LAIKUIS'!G46)</f>
        <v>40384129</v>
      </c>
      <c r="H46" s="21">
        <f>SUM('VAL YHT:LAIKUIS'!H46)</f>
        <v>-818309.32000000135</v>
      </c>
      <c r="I46" s="21">
        <f>'VAL YHT'!I46+VAKAOP!I46+VAVARKPA!I46+VAPERUSO!I46+'VARUKAOP '!I46+LALUKIOT!I46+'LAMMATIT '!I46+LAIKUIS!I46</f>
        <v>40068806</v>
      </c>
      <c r="J46" s="44">
        <f t="shared" si="27"/>
        <v>1.2712647534362929E-2</v>
      </c>
      <c r="K46" s="44">
        <f t="shared" si="28"/>
        <v>-7.8080921344125063E-3</v>
      </c>
      <c r="L46" s="21">
        <v>39286.105487903464</v>
      </c>
      <c r="M46" s="21">
        <v>38893.244433024433</v>
      </c>
      <c r="N46" s="21">
        <v>39282.176877354679</v>
      </c>
    </row>
    <row r="47" spans="1:14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x14ac:dyDescent="0.2">
      <c r="A48" s="25"/>
      <c r="B48" s="29" t="s">
        <v>38</v>
      </c>
      <c r="C48" s="21">
        <f t="shared" ref="C48:G48" si="30">SUM(C49:C50)</f>
        <v>9925716.4399999995</v>
      </c>
      <c r="D48" s="21">
        <f t="shared" si="30"/>
        <v>9762012.2400000002</v>
      </c>
      <c r="E48" s="21">
        <f t="shared" si="30"/>
        <v>-212000.16</v>
      </c>
      <c r="F48" s="21">
        <f t="shared" si="30"/>
        <v>9550012.0800000001</v>
      </c>
      <c r="G48" s="21">
        <f t="shared" si="30"/>
        <v>9984267</v>
      </c>
      <c r="H48" s="21">
        <f t="shared" si="21"/>
        <v>-434254.91999999993</v>
      </c>
      <c r="I48" s="21">
        <f t="shared" ref="I48" si="31">SUM(I49:I50)</f>
        <v>9542506</v>
      </c>
      <c r="J48" s="44">
        <f t="shared" ref="J48:J49" si="32">(I48-F48)/F48</f>
        <v>-7.8597596915291803E-4</v>
      </c>
      <c r="K48" s="44">
        <f t="shared" ref="K48:K49" si="33">(I48-G48)/G48</f>
        <v>-4.4245711778340864E-2</v>
      </c>
      <c r="L48" s="21">
        <f t="shared" ref="L48:N48" si="34">SUM(L49:L50)</f>
        <v>9356.1035318834238</v>
      </c>
      <c r="M48" s="21">
        <f t="shared" si="34"/>
        <v>9262.5424965645889</v>
      </c>
      <c r="N48" s="21">
        <f t="shared" si="34"/>
        <v>9355.1679215302356</v>
      </c>
    </row>
    <row r="49" spans="1:14" x14ac:dyDescent="0.2">
      <c r="A49" s="22" t="s">
        <v>60</v>
      </c>
      <c r="B49" s="23" t="s">
        <v>23</v>
      </c>
      <c r="C49" s="21">
        <f>SUM('VAL YHT:LAIKUIS'!C49)</f>
        <v>9927978.129999999</v>
      </c>
      <c r="D49" s="21">
        <f>SUM('VAL YHT:LAIKUIS'!D49)</f>
        <v>9762012.2400000002</v>
      </c>
      <c r="E49" s="21">
        <f>SUM('VAL YHT:LAIKUIS'!E49)</f>
        <v>-212000.16</v>
      </c>
      <c r="F49" s="21">
        <f>SUM('VAL YHT:LAIKUIS'!F49)</f>
        <v>9550012.0800000001</v>
      </c>
      <c r="G49" s="21">
        <f>SUM('VAL YHT:LAIKUIS'!G49)</f>
        <v>9984267</v>
      </c>
      <c r="H49" s="21">
        <f>SUM('VAL YHT:LAIKUIS'!H49)</f>
        <v>-434254.91999999993</v>
      </c>
      <c r="I49" s="21">
        <f>'VAL YHT'!I49+VAKAOP!I49+VAVARKPA!I49+VAPERUSO!I49+'VARUKAOP '!I49+LALUKIOT!I49+'LAMMATIT '!I49+LAIKUIS!I49</f>
        <v>9542506</v>
      </c>
      <c r="J49" s="44">
        <f t="shared" si="32"/>
        <v>-7.8597596915291803E-4</v>
      </c>
      <c r="K49" s="44">
        <f t="shared" si="33"/>
        <v>-4.4245711778340864E-2</v>
      </c>
      <c r="L49" s="21">
        <v>9356.1035318834238</v>
      </c>
      <c r="M49" s="21">
        <v>9262.5424965645889</v>
      </c>
      <c r="N49" s="21">
        <v>9355.1679215302356</v>
      </c>
    </row>
    <row r="50" spans="1:14" x14ac:dyDescent="0.2">
      <c r="A50" s="22" t="s">
        <v>61</v>
      </c>
      <c r="B50" s="23" t="s">
        <v>24</v>
      </c>
      <c r="C50" s="21">
        <f>SUM('VAL YHT:LAIKUIS'!C50)</f>
        <v>-2261.69</v>
      </c>
      <c r="D50" s="21">
        <f>SUM('VAL YHT:LAIKUIS'!D50)</f>
        <v>0</v>
      </c>
      <c r="E50" s="21">
        <f>SUM('VAL YHT:LAIKUIS'!E50)</f>
        <v>0</v>
      </c>
      <c r="F50" s="21">
        <f>SUM('VAL YHT:LAIKUIS'!F50)</f>
        <v>0</v>
      </c>
      <c r="G50" s="21">
        <f>SUM('VAL YHT:LAIKUIS'!G50)</f>
        <v>0</v>
      </c>
      <c r="H50" s="21">
        <f>SUM('VAL YHT:LAIKUIS'!H50)</f>
        <v>0</v>
      </c>
      <c r="I50" s="21">
        <f>'VAL YHT'!I50+VAKAOP!I50+VAVARKPA!I50+VAPERUSO!I50+'VARUKAOP '!I50+LALUKIOT!I50+'LAMMATIT '!I50+LAIKUIS!I50</f>
        <v>0</v>
      </c>
      <c r="J50" s="44">
        <v>0</v>
      </c>
      <c r="K50" s="44">
        <v>0</v>
      </c>
      <c r="L50" s="21">
        <v>0</v>
      </c>
      <c r="M50" s="21">
        <v>0</v>
      </c>
      <c r="N50" s="21">
        <v>0</v>
      </c>
    </row>
    <row r="51" spans="1:14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x14ac:dyDescent="0.2">
      <c r="A52" s="25"/>
      <c r="B52" s="29" t="s">
        <v>25</v>
      </c>
      <c r="C52" s="21">
        <f t="shared" ref="C52:G52" si="35">SUM(C53:C55)</f>
        <v>20373236.399999999</v>
      </c>
      <c r="D52" s="21">
        <f t="shared" si="35"/>
        <v>19422831.120000001</v>
      </c>
      <c r="E52" s="21">
        <f t="shared" si="35"/>
        <v>1384800</v>
      </c>
      <c r="F52" s="21">
        <f t="shared" si="35"/>
        <v>20807631.120000001</v>
      </c>
      <c r="G52" s="21">
        <f t="shared" si="35"/>
        <v>22165231</v>
      </c>
      <c r="H52" s="21">
        <f t="shared" si="21"/>
        <v>-1357599.879999999</v>
      </c>
      <c r="I52" s="21">
        <f t="shared" ref="I52" si="36">SUM(I53:I55)</f>
        <v>24876200</v>
      </c>
      <c r="J52" s="44">
        <f t="shared" ref="J52:J54" si="37">(I52-F52)/F52</f>
        <v>0.19553253594972414</v>
      </c>
      <c r="K52" s="44">
        <f t="shared" ref="K52:K54" si="38">(I52-G52)/G52</f>
        <v>0.12230727484861313</v>
      </c>
      <c r="L52" s="21">
        <f t="shared" ref="L52:N52" si="39">SUM(L53:L55)</f>
        <v>24390.270509637452</v>
      </c>
      <c r="M52" s="21">
        <f t="shared" si="39"/>
        <v>24146.367804541074</v>
      </c>
      <c r="N52" s="21">
        <f t="shared" si="39"/>
        <v>24387.831482586487</v>
      </c>
    </row>
    <row r="53" spans="1:14" x14ac:dyDescent="0.2">
      <c r="A53" s="22" t="s">
        <v>62</v>
      </c>
      <c r="B53" s="23" t="s">
        <v>26</v>
      </c>
      <c r="C53" s="21">
        <f>SUM('VAL YHT:LAIKUIS'!C53)</f>
        <v>20288996.399999999</v>
      </c>
      <c r="D53" s="21">
        <f>SUM('VAL YHT:LAIKUIS'!D53)</f>
        <v>19312331.16</v>
      </c>
      <c r="E53" s="21">
        <f>SUM('VAL YHT:LAIKUIS'!E53)</f>
        <v>1384800</v>
      </c>
      <c r="F53" s="21">
        <f>SUM('VAL YHT:LAIKUIS'!F53)</f>
        <v>20697131.16</v>
      </c>
      <c r="G53" s="21">
        <f>SUM('VAL YHT:LAIKUIS'!G53)</f>
        <v>22065171</v>
      </c>
      <c r="H53" s="21">
        <f>SUM('VAL YHT:LAIKUIS'!H53)</f>
        <v>-1368039.8399999992</v>
      </c>
      <c r="I53" s="21">
        <f>'VAL YHT'!I53+VAKAOP!I53+VAVARKPA!I53+VAPERUSO!I53+'VARUKAOP '!I53+LALUKIOT!I53+'LAMMATIT '!I53+LAIKUIS!I53</f>
        <v>24776200</v>
      </c>
      <c r="J53" s="44">
        <f t="shared" si="37"/>
        <v>0.19708377979859118</v>
      </c>
      <c r="K53" s="44">
        <f t="shared" si="38"/>
        <v>0.12286462679124489</v>
      </c>
      <c r="L53" s="21">
        <v>24292.223900791898</v>
      </c>
      <c r="M53" s="21">
        <v>24049.301661783978</v>
      </c>
      <c r="N53" s="21">
        <v>24289.79467840182</v>
      </c>
    </row>
    <row r="54" spans="1:14" x14ac:dyDescent="0.2">
      <c r="A54" s="22" t="s">
        <v>63</v>
      </c>
      <c r="B54" s="23" t="s">
        <v>27</v>
      </c>
      <c r="C54" s="21">
        <f>SUM('VAL YHT:LAIKUIS'!C54)</f>
        <v>84240</v>
      </c>
      <c r="D54" s="21">
        <f>SUM('VAL YHT:LAIKUIS'!D54)</f>
        <v>110499.96</v>
      </c>
      <c r="E54" s="21">
        <f>SUM('VAL YHT:LAIKUIS'!E54)</f>
        <v>0</v>
      </c>
      <c r="F54" s="21">
        <f>SUM('VAL YHT:LAIKUIS'!F54)</f>
        <v>110499.96</v>
      </c>
      <c r="G54" s="21">
        <f>SUM('VAL YHT:LAIKUIS'!G54)</f>
        <v>100060</v>
      </c>
      <c r="H54" s="21">
        <f>SUM('VAL YHT:LAIKUIS'!H54)</f>
        <v>10439.960000000006</v>
      </c>
      <c r="I54" s="21">
        <f>'VAL YHT'!I54+VAKAOP!I54+VAVARKPA!I54+VAPERUSO!I54+'VARUKAOP '!I54+LALUKIOT!I54+'LAMMATIT '!I54+LAIKUIS!I54</f>
        <v>100000</v>
      </c>
      <c r="J54" s="44">
        <f t="shared" si="37"/>
        <v>-9.5022296840650486E-2</v>
      </c>
      <c r="K54" s="44">
        <f t="shared" si="38"/>
        <v>-5.9964021587047766E-4</v>
      </c>
      <c r="L54" s="21">
        <v>98.046608845552981</v>
      </c>
      <c r="M54" s="21">
        <v>97.066142757097452</v>
      </c>
      <c r="N54" s="21">
        <v>98.036804184668426</v>
      </c>
    </row>
    <row r="55" spans="1:14" x14ac:dyDescent="0.2">
      <c r="A55" s="22" t="s">
        <v>64</v>
      </c>
      <c r="B55" s="23" t="s">
        <v>28</v>
      </c>
      <c r="C55" s="21">
        <f>SUM('VAL YHT:LAIKUIS'!C55)</f>
        <v>0</v>
      </c>
      <c r="D55" s="21">
        <f>SUM('VAL YHT:LAIKUIS'!D55)</f>
        <v>0</v>
      </c>
      <c r="E55" s="21">
        <f>SUM('VAL YHT:LAIKUIS'!E55)</f>
        <v>0</v>
      </c>
      <c r="F55" s="21">
        <f>SUM('VAL YHT:LAIKUIS'!F55)</f>
        <v>0</v>
      </c>
      <c r="G55" s="21">
        <f>SUM('VAL YHT:LAIKUIS'!G55)</f>
        <v>0</v>
      </c>
      <c r="H55" s="21">
        <f>SUM('VAL YHT:LAIKUIS'!H55)</f>
        <v>0</v>
      </c>
      <c r="I55" s="21">
        <f>'VAL YHT'!I55+VAKAOP!I55+VAVARKPA!I55+VAPERUSO!I55+'VARUKAOP '!I55+LALUKIOT!I55+'LAMMATIT '!I55+LAIKUIS!I55</f>
        <v>0</v>
      </c>
      <c r="J55" s="44">
        <v>0</v>
      </c>
      <c r="K55" s="44">
        <v>0</v>
      </c>
      <c r="L55" s="21">
        <v>0</v>
      </c>
      <c r="M55" s="21">
        <v>0</v>
      </c>
      <c r="N55" s="21">
        <v>0</v>
      </c>
    </row>
    <row r="56" spans="1:14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4" x14ac:dyDescent="0.2">
      <c r="A57" s="25"/>
      <c r="B57" s="29" t="s">
        <v>29</v>
      </c>
      <c r="C57" s="21">
        <f t="shared" ref="C57:G57" si="40">SUM(C58:C59)</f>
        <v>48115235.539999999</v>
      </c>
      <c r="D57" s="21">
        <f t="shared" si="40"/>
        <v>49905890.880000003</v>
      </c>
      <c r="E57" s="21">
        <f t="shared" si="40"/>
        <v>-150000</v>
      </c>
      <c r="F57" s="21">
        <f t="shared" si="40"/>
        <v>49755890.880000003</v>
      </c>
      <c r="G57" s="21">
        <f t="shared" si="40"/>
        <v>49037696</v>
      </c>
      <c r="H57" s="21">
        <f t="shared" si="21"/>
        <v>718194.88000000268</v>
      </c>
      <c r="I57" s="21">
        <f t="shared" ref="I57" si="41">SUM(I58:I59)</f>
        <v>47976316</v>
      </c>
      <c r="J57" s="44">
        <f t="shared" ref="J57:J59" si="42">(I57-F57)/F57</f>
        <v>-3.5766114293721243E-2</v>
      </c>
      <c r="K57" s="44">
        <f t="shared" ref="K57:K59" si="43">(I57-G57)/G57</f>
        <v>-2.1644165337621084E-2</v>
      </c>
      <c r="L57" s="21">
        <f t="shared" ref="L57:N57" si="44">SUM(L58:L59)</f>
        <v>47039.150887026452</v>
      </c>
      <c r="M57" s="21">
        <f t="shared" si="44"/>
        <v>46568.759378156188</v>
      </c>
      <c r="N57" s="21">
        <f t="shared" si="44"/>
        <v>47034.446971937752</v>
      </c>
    </row>
    <row r="58" spans="1:14" x14ac:dyDescent="0.2">
      <c r="A58" s="22" t="s">
        <v>65</v>
      </c>
      <c r="B58" s="23" t="s">
        <v>30</v>
      </c>
      <c r="C58" s="21">
        <f>SUM('VAL YHT:LAIKUIS'!C58)</f>
        <v>47818912.359999999</v>
      </c>
      <c r="D58" s="21">
        <f>SUM('VAL YHT:LAIKUIS'!D58)</f>
        <v>48937192.800000004</v>
      </c>
      <c r="E58" s="21">
        <f>SUM('VAL YHT:LAIKUIS'!E58)</f>
        <v>-150000</v>
      </c>
      <c r="F58" s="21">
        <f>SUM('VAL YHT:LAIKUIS'!F58)</f>
        <v>48787192.800000004</v>
      </c>
      <c r="G58" s="21">
        <f>SUM('VAL YHT:LAIKUIS'!G58)</f>
        <v>48458394</v>
      </c>
      <c r="H58" s="21">
        <f>SUM('VAL YHT:LAIKUIS'!H58)</f>
        <v>328798.7999999997</v>
      </c>
      <c r="I58" s="21">
        <f>'VAL YHT'!I58+VAKAOP!I58+VAVARKPA!I58+VAPERUSO!I58+'VARUKAOP '!I58+LALUKIOT!I58+'LAMMATIT '!I58+LAIKUIS!I58</f>
        <v>48539717</v>
      </c>
      <c r="J58" s="44">
        <f t="shared" si="42"/>
        <v>-5.0725566649123628E-3</v>
      </c>
      <c r="K58" s="44">
        <f t="shared" si="43"/>
        <v>1.6782025421643151E-3</v>
      </c>
      <c r="L58" s="21">
        <v>47591.546461728387</v>
      </c>
      <c r="M58" s="21">
        <v>47115.630997111104</v>
      </c>
      <c r="N58" s="21">
        <v>47586.787307082217</v>
      </c>
    </row>
    <row r="59" spans="1:14" x14ac:dyDescent="0.2">
      <c r="A59" s="22" t="s">
        <v>66</v>
      </c>
      <c r="B59" s="23" t="s">
        <v>31</v>
      </c>
      <c r="C59" s="21">
        <f>SUM('VAL YHT:LAIKUIS'!C59)</f>
        <v>296323.18</v>
      </c>
      <c r="D59" s="21">
        <f>SUM('VAL YHT:LAIKUIS'!D59)</f>
        <v>968698.08</v>
      </c>
      <c r="E59" s="21">
        <f>SUM('VAL YHT:LAIKUIS'!E59)</f>
        <v>0</v>
      </c>
      <c r="F59" s="21">
        <f>SUM('VAL YHT:LAIKUIS'!F59)</f>
        <v>968698.08</v>
      </c>
      <c r="G59" s="21">
        <f>SUM('VAL YHT:LAIKUIS'!G59)</f>
        <v>579302</v>
      </c>
      <c r="H59" s="21">
        <f>SUM('VAL YHT:LAIKUIS'!H59)</f>
        <v>389396.08</v>
      </c>
      <c r="I59" s="21">
        <f>'VAL YHT'!I59+VAKAOP!I59+VAVARKPA!I59+VAPERUSO!I59+'VARUKAOP '!I59+LALUKIOT!I59+'LAMMATIT '!I59+LAIKUIS!I59</f>
        <v>-563401</v>
      </c>
      <c r="J59" s="44">
        <f t="shared" si="42"/>
        <v>-1.5816063969074865</v>
      </c>
      <c r="K59" s="44">
        <f t="shared" si="43"/>
        <v>-1.9725514498482657</v>
      </c>
      <c r="L59" s="21">
        <v>-552.39557470193404</v>
      </c>
      <c r="M59" s="21">
        <v>-546.87161895491465</v>
      </c>
      <c r="N59" s="21">
        <v>-552.34033514446378</v>
      </c>
    </row>
    <row r="60" spans="1:14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 ht="15" x14ac:dyDescent="0.25">
      <c r="A61" s="33"/>
      <c r="B61" s="27" t="s">
        <v>32</v>
      </c>
      <c r="C61" s="28">
        <f t="shared" ref="C61:G61" si="45">C57+C52+C48+C44+C38</f>
        <v>304190355.21000004</v>
      </c>
      <c r="D61" s="28">
        <f t="shared" si="45"/>
        <v>306663273.96000004</v>
      </c>
      <c r="E61" s="28">
        <f t="shared" si="45"/>
        <v>-190911.44000000018</v>
      </c>
      <c r="F61" s="28">
        <f t="shared" si="45"/>
        <v>306472362.51999998</v>
      </c>
      <c r="G61" s="28">
        <f t="shared" si="45"/>
        <v>312220749.69999999</v>
      </c>
      <c r="H61" s="28">
        <f t="shared" ref="H61" si="46">F61-G61</f>
        <v>-5748387.1800000072</v>
      </c>
      <c r="I61" s="28">
        <f t="shared" ref="I61:L61" si="47">I57+I52+I48+I44+I38</f>
        <v>306909786</v>
      </c>
      <c r="J61" s="45">
        <f t="shared" ref="J61" si="48">(I61-F61)/F61</f>
        <v>1.427285241655268E-3</v>
      </c>
      <c r="K61" s="45">
        <f t="shared" ref="K61" si="49">(I61-G61)/G61</f>
        <v>-1.7010284246332358E-2</v>
      </c>
      <c r="L61" s="28">
        <f t="shared" si="47"/>
        <v>300595.98590939568</v>
      </c>
      <c r="M61" s="28">
        <f t="shared" ref="M61:N61" si="50">M57+M52+M48+M44+M38</f>
        <v>297590.02605030173</v>
      </c>
      <c r="N61" s="28">
        <f t="shared" si="50"/>
        <v>300565.92631080479</v>
      </c>
    </row>
    <row r="62" spans="1:14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4" ht="15" x14ac:dyDescent="0.25">
      <c r="A63" s="33"/>
      <c r="B63" s="27" t="s">
        <v>33</v>
      </c>
      <c r="C63" s="28">
        <f t="shared" ref="C63:G63" si="51">C31+C33-C61</f>
        <v>-275573937.81000006</v>
      </c>
      <c r="D63" s="28">
        <f t="shared" si="51"/>
        <v>-280438552.92000002</v>
      </c>
      <c r="E63" s="28">
        <f t="shared" si="51"/>
        <v>190911.44000000018</v>
      </c>
      <c r="F63" s="28">
        <f t="shared" si="51"/>
        <v>-280247641.47999996</v>
      </c>
      <c r="G63" s="28">
        <f t="shared" si="51"/>
        <v>-281085187.01999998</v>
      </c>
      <c r="H63" s="28">
        <f t="shared" ref="H63" si="52">H31-H61</f>
        <v>837545.54000000656</v>
      </c>
      <c r="I63" s="28">
        <f t="shared" ref="I63:L63" si="53">I31+I33-I61</f>
        <v>-278770000</v>
      </c>
      <c r="J63" s="45">
        <f t="shared" ref="J63" si="54">(I63-F63)/F63</f>
        <v>-5.2726277095374316E-3</v>
      </c>
      <c r="K63" s="45">
        <f t="shared" ref="K63" si="55">(I63-G63)/G63</f>
        <v>-8.2366027343705201E-3</v>
      </c>
      <c r="L63" s="28">
        <f t="shared" si="53"/>
        <v>-273005.88</v>
      </c>
      <c r="M63" s="28">
        <f t="shared" ref="M63:N63" si="56">M31+M33-M61</f>
        <v>-270275.82120000001</v>
      </c>
      <c r="N63" s="28">
        <f t="shared" si="56"/>
        <v>-272978.57941200002</v>
      </c>
    </row>
    <row r="64" spans="1:14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9:14" hidden="1" x14ac:dyDescent="0.2">
      <c r="L65" s="43">
        <f>(L66-I66)/I66%</f>
        <v>-1.9533911544470166</v>
      </c>
      <c r="M65" s="43">
        <f>(M66-L66)/L66%</f>
        <v>-0.99999999999999944</v>
      </c>
      <c r="N65" s="43">
        <f>(N66-M66)/M66%</f>
        <v>1.0000000000000056</v>
      </c>
    </row>
    <row r="66" spans="9:14" hidden="1" x14ac:dyDescent="0.2">
      <c r="I66" s="41">
        <f>-278445000/1000</f>
        <v>-278445</v>
      </c>
      <c r="J66" s="41"/>
      <c r="K66" s="41"/>
      <c r="L66" s="41">
        <f>(-277445000-(1.6*-277445000)%)/1000</f>
        <v>-273005.88</v>
      </c>
      <c r="M66" s="41">
        <f>L66-1*L66%</f>
        <v>-270275.82120000001</v>
      </c>
      <c r="N66" s="41">
        <f>M66+1*M66%</f>
        <v>-272978.57941200002</v>
      </c>
    </row>
    <row r="67" spans="9:14" hidden="1" x14ac:dyDescent="0.2">
      <c r="L67" s="43">
        <f>L66/1000000</f>
        <v>-0.27300587999999998</v>
      </c>
      <c r="M67" s="43">
        <f t="shared" ref="M67:N67" si="57">M66/1000000</f>
        <v>-0.27027582119999999</v>
      </c>
      <c r="N67" s="43">
        <f t="shared" si="57"/>
        <v>-0.27297857941200004</v>
      </c>
    </row>
  </sheetData>
  <phoneticPr fontId="7" type="noConversion"/>
  <pageMargins left="0.78740157480314965" right="0.78740157480314965" top="0.78740157480314965" bottom="0.78740157480314965" header="0.51181102362204722" footer="0.51181102362204722"/>
  <pageSetup paperSize="9" scale="59" orientation="landscape" r:id="rId1"/>
  <headerFooter alignWithMargins="0">
    <oddHeader>&amp;R&amp;D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>
    <pageSetUpPr fitToPage="1"/>
  </sheetPr>
  <dimension ref="A1:M31"/>
  <sheetViews>
    <sheetView zoomScale="89" zoomScaleNormal="89" workbookViewId="0">
      <pane xSplit="3" ySplit="5" topLeftCell="D6" activePane="bottomRight" state="frozen"/>
      <selection activeCell="H13" sqref="H13"/>
      <selection pane="topRight" activeCell="H13" sqref="H13"/>
      <selection pane="bottomLeft" activeCell="H13" sqref="H13"/>
      <selection pane="bottomRight" activeCell="C5" sqref="C5"/>
    </sheetView>
  </sheetViews>
  <sheetFormatPr defaultColWidth="9.140625" defaultRowHeight="12.75" x14ac:dyDescent="0.2"/>
  <cols>
    <col min="1" max="2" width="6.28515625" style="5" customWidth="1"/>
    <col min="3" max="3" width="56.140625" style="5" bestFit="1" customWidth="1"/>
    <col min="4" max="10" width="16.7109375" style="5" customWidth="1"/>
    <col min="11" max="13" width="12.7109375" style="5" bestFit="1" customWidth="1"/>
    <col min="14" max="16384" width="9.140625" style="5"/>
  </cols>
  <sheetData>
    <row r="1" spans="1:13" x14ac:dyDescent="0.2">
      <c r="A1" s="9"/>
      <c r="B1" s="9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3" customHeight="1" x14ac:dyDescent="0.2">
      <c r="A2" s="12"/>
      <c r="B2" s="12"/>
      <c r="C2" s="13"/>
      <c r="D2" s="14" t="s">
        <v>67</v>
      </c>
      <c r="E2" s="14" t="s">
        <v>84</v>
      </c>
      <c r="F2" s="14" t="s">
        <v>68</v>
      </c>
      <c r="G2" s="14" t="s">
        <v>85</v>
      </c>
      <c r="H2" s="14" t="s">
        <v>83</v>
      </c>
      <c r="I2" s="14" t="s">
        <v>69</v>
      </c>
      <c r="J2" s="14" t="s">
        <v>92</v>
      </c>
      <c r="K2" s="14" t="s">
        <v>93</v>
      </c>
      <c r="L2" s="14" t="s">
        <v>94</v>
      </c>
      <c r="M2" s="14" t="s">
        <v>95</v>
      </c>
    </row>
    <row r="3" spans="1:13" x14ac:dyDescent="0.2">
      <c r="A3" s="12"/>
      <c r="B3" s="12"/>
      <c r="C3" s="6"/>
      <c r="D3" s="14"/>
      <c r="E3" s="14"/>
      <c r="F3" s="14"/>
      <c r="G3" s="14"/>
      <c r="H3" s="14" t="s">
        <v>87</v>
      </c>
      <c r="I3" s="14"/>
      <c r="J3" s="14"/>
      <c r="K3" s="14"/>
      <c r="L3" s="14"/>
      <c r="M3" s="14"/>
    </row>
    <row r="4" spans="1:13" x14ac:dyDescent="0.2">
      <c r="A4" s="12"/>
      <c r="B4" s="12"/>
      <c r="C4" s="6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">
      <c r="A5" s="12"/>
      <c r="B5" s="12"/>
      <c r="C5" s="13" t="s">
        <v>34</v>
      </c>
      <c r="D5" s="16"/>
      <c r="E5" s="16"/>
      <c r="F5" s="17"/>
      <c r="G5" s="17"/>
      <c r="H5" s="17"/>
      <c r="I5" s="17"/>
      <c r="J5" s="17"/>
      <c r="K5" s="17"/>
      <c r="L5" s="17"/>
      <c r="M5" s="17"/>
    </row>
    <row r="6" spans="1:13" ht="15" x14ac:dyDescent="0.25">
      <c r="A6" s="32"/>
      <c r="B6" s="32"/>
      <c r="C6" s="27" t="s">
        <v>73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18"/>
      <c r="B7" s="18"/>
      <c r="C7" s="19" t="s">
        <v>34</v>
      </c>
      <c r="D7" s="8"/>
      <c r="E7" s="8"/>
      <c r="F7" s="2"/>
      <c r="G7" s="2"/>
      <c r="H7" s="2"/>
      <c r="I7" s="2"/>
      <c r="J7" s="2"/>
      <c r="K7" s="2"/>
      <c r="L7" s="2"/>
      <c r="M7" s="2"/>
    </row>
    <row r="8" spans="1:13" x14ac:dyDescent="0.2">
      <c r="A8" s="20"/>
      <c r="B8" s="20"/>
      <c r="C8" s="3" t="s">
        <v>74</v>
      </c>
      <c r="D8" s="21">
        <f>D10-D9</f>
        <v>-1883689.04</v>
      </c>
      <c r="E8" s="21">
        <f>E10-E9</f>
        <v>-1000000</v>
      </c>
      <c r="F8" s="21">
        <f>F10-F9</f>
        <v>0</v>
      </c>
      <c r="G8" s="21">
        <f>G10-G9</f>
        <v>-1000000</v>
      </c>
      <c r="H8" s="21">
        <f>H10-H9</f>
        <v>-1000000</v>
      </c>
      <c r="I8" s="21">
        <f>IF(H8=0,0,H8-G8)</f>
        <v>0</v>
      </c>
      <c r="J8" s="21">
        <f>J10-J9</f>
        <v>-1475000</v>
      </c>
      <c r="K8" s="21">
        <f>K10-K9</f>
        <v>-1865000</v>
      </c>
      <c r="L8" s="21">
        <f>L10-L9</f>
        <v>-2670000</v>
      </c>
      <c r="M8" s="21">
        <f>M10-M9</f>
        <v>-1000000</v>
      </c>
    </row>
    <row r="9" spans="1:13" x14ac:dyDescent="0.2">
      <c r="A9" s="5" t="s">
        <v>70</v>
      </c>
      <c r="D9" s="21">
        <v>1883689.04</v>
      </c>
      <c r="E9" s="21">
        <v>1000000</v>
      </c>
      <c r="F9" s="21">
        <f>F12+F15+F18+F21+F24</f>
        <v>0</v>
      </c>
      <c r="G9" s="21">
        <f t="shared" ref="G9:G25" si="0">E9+F9</f>
        <v>1000000</v>
      </c>
      <c r="H9" s="36">
        <v>1000000</v>
      </c>
      <c r="I9" s="21">
        <f>IF(H9="","",H9-G9)</f>
        <v>0</v>
      </c>
      <c r="J9" s="36">
        <v>1475000</v>
      </c>
      <c r="K9" s="36">
        <v>1865000</v>
      </c>
      <c r="L9" s="36">
        <v>2670000</v>
      </c>
      <c r="M9" s="36">
        <v>1000000</v>
      </c>
    </row>
    <row r="10" spans="1:13" x14ac:dyDescent="0.2">
      <c r="A10" s="5" t="s">
        <v>76</v>
      </c>
      <c r="D10" s="21">
        <f>D13+D16+D19+D22+D25</f>
        <v>0</v>
      </c>
      <c r="E10" s="21">
        <f>E13+E16+E19+E22+E25</f>
        <v>0</v>
      </c>
      <c r="F10" s="21">
        <f>F13+F16+F19+F22+F25</f>
        <v>0</v>
      </c>
      <c r="G10" s="21">
        <f t="shared" si="0"/>
        <v>0</v>
      </c>
      <c r="H10" s="35">
        <f>H13+H16+H19+H22+H25</f>
        <v>0</v>
      </c>
      <c r="I10" s="21">
        <f>IF(H10="","",H10-G10)</f>
        <v>0</v>
      </c>
      <c r="J10" s="35">
        <f>J13+J16+J19+J22+J25</f>
        <v>0</v>
      </c>
      <c r="K10" s="35">
        <f>K13+K16+K19+K22+K25</f>
        <v>0</v>
      </c>
      <c r="L10" s="35">
        <f>L13+L16+L19+L22+L25</f>
        <v>0</v>
      </c>
      <c r="M10" s="35">
        <f>M13+M16+M19+M22+M25</f>
        <v>0</v>
      </c>
    </row>
    <row r="11" spans="1:13" x14ac:dyDescent="0.2">
      <c r="B11" s="5" t="s">
        <v>77</v>
      </c>
      <c r="D11" s="37"/>
      <c r="E11" s="37"/>
      <c r="F11" s="37"/>
      <c r="G11" s="37">
        <f t="shared" si="0"/>
        <v>0</v>
      </c>
      <c r="H11" s="38"/>
      <c r="I11" s="37"/>
      <c r="J11" s="38"/>
      <c r="K11" s="38"/>
      <c r="L11" s="38"/>
      <c r="M11" s="38"/>
    </row>
    <row r="12" spans="1:13" x14ac:dyDescent="0.2">
      <c r="A12" s="22"/>
      <c r="B12" s="22"/>
      <c r="C12" s="23" t="s">
        <v>70</v>
      </c>
      <c r="D12" s="37"/>
      <c r="E12" s="37"/>
      <c r="F12" s="37"/>
      <c r="G12" s="37">
        <f t="shared" si="0"/>
        <v>0</v>
      </c>
      <c r="H12" s="39"/>
      <c r="I12" s="37"/>
      <c r="J12" s="39"/>
      <c r="K12" s="39"/>
      <c r="L12" s="39"/>
      <c r="M12" s="39"/>
    </row>
    <row r="13" spans="1:13" x14ac:dyDescent="0.2">
      <c r="A13" s="22"/>
      <c r="B13" s="22"/>
      <c r="C13" s="23" t="s">
        <v>76</v>
      </c>
      <c r="D13" s="37"/>
      <c r="E13" s="37"/>
      <c r="F13" s="37"/>
      <c r="G13" s="37">
        <f t="shared" si="0"/>
        <v>0</v>
      </c>
      <c r="H13" s="38"/>
      <c r="I13" s="37"/>
      <c r="J13" s="38"/>
      <c r="K13" s="38"/>
      <c r="L13" s="38"/>
      <c r="M13" s="38"/>
    </row>
    <row r="14" spans="1:13" x14ac:dyDescent="0.2">
      <c r="A14" s="22"/>
      <c r="B14" s="40" t="s">
        <v>78</v>
      </c>
      <c r="C14" s="23"/>
      <c r="D14" s="37"/>
      <c r="E14" s="37"/>
      <c r="F14" s="37"/>
      <c r="G14" s="37">
        <f t="shared" si="0"/>
        <v>0</v>
      </c>
      <c r="H14" s="39"/>
      <c r="I14" s="37"/>
      <c r="J14" s="39"/>
      <c r="K14" s="39"/>
      <c r="L14" s="39"/>
      <c r="M14" s="39"/>
    </row>
    <row r="15" spans="1:13" x14ac:dyDescent="0.2">
      <c r="A15" s="22"/>
      <c r="B15" s="22"/>
      <c r="C15" s="23" t="s">
        <v>70</v>
      </c>
      <c r="D15" s="37"/>
      <c r="E15" s="37"/>
      <c r="F15" s="37"/>
      <c r="G15" s="37">
        <f t="shared" si="0"/>
        <v>0</v>
      </c>
      <c r="H15" s="38"/>
      <c r="I15" s="37"/>
      <c r="J15" s="38"/>
      <c r="K15" s="38"/>
      <c r="L15" s="38"/>
      <c r="M15" s="38"/>
    </row>
    <row r="16" spans="1:13" x14ac:dyDescent="0.2">
      <c r="A16" s="22"/>
      <c r="B16" s="22"/>
      <c r="C16" s="23" t="s">
        <v>76</v>
      </c>
      <c r="D16" s="37"/>
      <c r="E16" s="37"/>
      <c r="F16" s="37"/>
      <c r="G16" s="37">
        <f t="shared" si="0"/>
        <v>0</v>
      </c>
      <c r="H16" s="39"/>
      <c r="I16" s="37"/>
      <c r="J16" s="39"/>
      <c r="K16" s="39"/>
      <c r="L16" s="39"/>
      <c r="M16" s="39"/>
    </row>
    <row r="17" spans="1:13" x14ac:dyDescent="0.2">
      <c r="A17" s="22"/>
      <c r="B17" s="40" t="s">
        <v>79</v>
      </c>
      <c r="C17" s="23"/>
      <c r="D17" s="37"/>
      <c r="E17" s="37"/>
      <c r="F17" s="37"/>
      <c r="G17" s="37">
        <f t="shared" si="0"/>
        <v>0</v>
      </c>
      <c r="H17" s="38"/>
      <c r="I17" s="37"/>
      <c r="J17" s="38"/>
      <c r="K17" s="38"/>
      <c r="L17" s="38"/>
      <c r="M17" s="38"/>
    </row>
    <row r="18" spans="1:13" x14ac:dyDescent="0.2">
      <c r="A18" s="22"/>
      <c r="B18" s="22"/>
      <c r="C18" s="23" t="s">
        <v>70</v>
      </c>
      <c r="D18" s="37"/>
      <c r="E18" s="37"/>
      <c r="F18" s="37"/>
      <c r="G18" s="37">
        <f t="shared" si="0"/>
        <v>0</v>
      </c>
      <c r="H18" s="39"/>
      <c r="I18" s="37"/>
      <c r="J18" s="39"/>
      <c r="K18" s="39"/>
      <c r="L18" s="39"/>
      <c r="M18" s="39"/>
    </row>
    <row r="19" spans="1:13" x14ac:dyDescent="0.2">
      <c r="A19" s="22"/>
      <c r="B19" s="22"/>
      <c r="C19" s="23" t="s">
        <v>76</v>
      </c>
      <c r="D19" s="37"/>
      <c r="E19" s="37"/>
      <c r="F19" s="37"/>
      <c r="G19" s="37">
        <f t="shared" si="0"/>
        <v>0</v>
      </c>
      <c r="H19" s="38"/>
      <c r="I19" s="37"/>
      <c r="J19" s="38"/>
      <c r="K19" s="38"/>
      <c r="L19" s="38"/>
      <c r="M19" s="38"/>
    </row>
    <row r="20" spans="1:13" x14ac:dyDescent="0.2">
      <c r="A20" s="22"/>
      <c r="B20" s="40" t="s">
        <v>80</v>
      </c>
      <c r="C20" s="23"/>
      <c r="D20" s="37"/>
      <c r="E20" s="37"/>
      <c r="F20" s="37"/>
      <c r="G20" s="37">
        <f t="shared" si="0"/>
        <v>0</v>
      </c>
      <c r="H20" s="39"/>
      <c r="I20" s="37"/>
      <c r="J20" s="39"/>
      <c r="K20" s="39"/>
      <c r="L20" s="39"/>
      <c r="M20" s="39"/>
    </row>
    <row r="21" spans="1:13" x14ac:dyDescent="0.2">
      <c r="A21" s="22"/>
      <c r="B21" s="22"/>
      <c r="C21" s="23" t="s">
        <v>70</v>
      </c>
      <c r="D21" s="37"/>
      <c r="E21" s="37"/>
      <c r="F21" s="37"/>
      <c r="G21" s="37">
        <f t="shared" si="0"/>
        <v>0</v>
      </c>
      <c r="H21" s="38"/>
      <c r="I21" s="37"/>
      <c r="J21" s="38"/>
      <c r="K21" s="38"/>
      <c r="L21" s="38"/>
      <c r="M21" s="38"/>
    </row>
    <row r="22" spans="1:13" x14ac:dyDescent="0.2">
      <c r="A22" s="22"/>
      <c r="B22" s="22"/>
      <c r="C22" s="23" t="s">
        <v>76</v>
      </c>
      <c r="D22" s="37"/>
      <c r="E22" s="37"/>
      <c r="F22" s="37"/>
      <c r="G22" s="37">
        <f t="shared" si="0"/>
        <v>0</v>
      </c>
      <c r="H22" s="39"/>
      <c r="I22" s="37"/>
      <c r="J22" s="39"/>
      <c r="K22" s="39"/>
      <c r="L22" s="39"/>
      <c r="M22" s="39"/>
    </row>
    <row r="23" spans="1:13" x14ac:dyDescent="0.2">
      <c r="A23" s="22"/>
      <c r="B23" s="40" t="s">
        <v>81</v>
      </c>
      <c r="C23" s="23"/>
      <c r="D23" s="37"/>
      <c r="E23" s="37"/>
      <c r="F23" s="37"/>
      <c r="G23" s="37">
        <f t="shared" si="0"/>
        <v>0</v>
      </c>
      <c r="H23" s="38"/>
      <c r="I23" s="37"/>
      <c r="J23" s="38"/>
      <c r="K23" s="38"/>
      <c r="L23" s="38"/>
      <c r="M23" s="38"/>
    </row>
    <row r="24" spans="1:13" x14ac:dyDescent="0.2">
      <c r="A24" s="22"/>
      <c r="C24" s="23" t="s">
        <v>70</v>
      </c>
      <c r="D24" s="37"/>
      <c r="E24" s="37"/>
      <c r="F24" s="37"/>
      <c r="G24" s="37">
        <f t="shared" si="0"/>
        <v>0</v>
      </c>
      <c r="H24" s="39"/>
      <c r="I24" s="37"/>
      <c r="J24" s="39"/>
      <c r="K24" s="39"/>
      <c r="L24" s="39"/>
      <c r="M24" s="39"/>
    </row>
    <row r="25" spans="1:13" x14ac:dyDescent="0.2">
      <c r="A25" s="22"/>
      <c r="B25" s="22"/>
      <c r="C25" s="23" t="s">
        <v>76</v>
      </c>
      <c r="D25" s="37"/>
      <c r="E25" s="37"/>
      <c r="F25" s="37"/>
      <c r="G25" s="37">
        <f t="shared" si="0"/>
        <v>0</v>
      </c>
      <c r="H25" s="38"/>
      <c r="I25" s="37"/>
      <c r="J25" s="38"/>
      <c r="K25" s="38"/>
      <c r="L25" s="38"/>
      <c r="M25" s="38"/>
    </row>
    <row r="26" spans="1:13" x14ac:dyDescent="0.2">
      <c r="A26" s="22"/>
      <c r="B26" s="2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2">
      <c r="A27" s="25"/>
      <c r="B27" s="3" t="s">
        <v>71</v>
      </c>
      <c r="C27" s="3"/>
      <c r="D27" s="21">
        <f>SUM(D29:D30)</f>
        <v>0</v>
      </c>
      <c r="E27" s="21">
        <f>E29</f>
        <v>0</v>
      </c>
      <c r="F27" s="21">
        <f>F29</f>
        <v>0</v>
      </c>
      <c r="G27" s="21">
        <f>G29</f>
        <v>0</v>
      </c>
      <c r="H27" s="21">
        <f>H29</f>
        <v>0</v>
      </c>
      <c r="I27" s="21">
        <f>IF(H27=0,0,H27-G27)</f>
        <v>0</v>
      </c>
      <c r="J27" s="21">
        <f>J29</f>
        <v>0</v>
      </c>
      <c r="K27" s="21">
        <f>K29</f>
        <v>0</v>
      </c>
      <c r="L27" s="21">
        <f>L29</f>
        <v>0</v>
      </c>
      <c r="M27" s="21">
        <f>M29</f>
        <v>0</v>
      </c>
    </row>
    <row r="28" spans="1:13" x14ac:dyDescent="0.2">
      <c r="A28" s="40" t="s">
        <v>82</v>
      </c>
      <c r="B28" s="22"/>
      <c r="C28" s="1"/>
      <c r="D28" s="24"/>
      <c r="E28" s="21"/>
      <c r="F28" s="21"/>
      <c r="G28" s="21"/>
      <c r="H28" s="24"/>
      <c r="I28" s="21"/>
      <c r="J28" s="24"/>
      <c r="K28" s="24"/>
      <c r="L28" s="24"/>
      <c r="M28" s="24"/>
    </row>
    <row r="29" spans="1:13" x14ac:dyDescent="0.2">
      <c r="A29" s="22"/>
      <c r="B29" s="22"/>
      <c r="C29" s="23" t="s">
        <v>75</v>
      </c>
      <c r="D29" s="24"/>
      <c r="E29" s="21"/>
      <c r="F29" s="21"/>
      <c r="G29" s="21">
        <f>E29+F29</f>
        <v>0</v>
      </c>
      <c r="H29" s="36"/>
      <c r="I29" s="21" t="str">
        <f>IF(H29="","",H29-G29)</f>
        <v/>
      </c>
      <c r="J29" s="36"/>
      <c r="K29" s="36"/>
      <c r="L29" s="36"/>
      <c r="M29" s="36"/>
    </row>
    <row r="30" spans="1:13" x14ac:dyDescent="0.2">
      <c r="A30" s="22"/>
      <c r="B30" s="22"/>
      <c r="C30" s="23" t="s">
        <v>72</v>
      </c>
      <c r="D30" s="24"/>
      <c r="E30" s="21"/>
      <c r="F30" s="21"/>
      <c r="G30" s="21">
        <f>E30+F30</f>
        <v>0</v>
      </c>
      <c r="H30" s="35"/>
      <c r="I30" s="21" t="str">
        <f>IF(H30="","",H30-G30)</f>
        <v/>
      </c>
      <c r="J30" s="35"/>
      <c r="K30" s="35"/>
      <c r="L30" s="35"/>
      <c r="M30" s="35"/>
    </row>
    <row r="31" spans="1:13" x14ac:dyDescent="0.2">
      <c r="A31" s="22"/>
      <c r="B31" s="22"/>
      <c r="C31" s="23"/>
      <c r="D31" s="24"/>
      <c r="E31" s="24"/>
      <c r="F31" s="24"/>
      <c r="G31" s="24"/>
      <c r="H31" s="24"/>
      <c r="I31" s="24"/>
      <c r="J31" s="24"/>
    </row>
  </sheetData>
  <phoneticPr fontId="7" type="noConversion"/>
  <pageMargins left="0.78740157480314965" right="0.78740157480314965" top="0.78740157480314965" bottom="0.78740157480314965" header="0.51181102362204722" footer="0.51181102362204722"/>
  <pageSetup paperSize="9" scale="86" orientation="landscape" r:id="rId1"/>
  <headerFooter alignWithMargins="0"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K66"/>
  <sheetViews>
    <sheetView zoomScale="85" workbookViewId="0">
      <pane xSplit="2" ySplit="5" topLeftCell="C6" activePane="bottomRight" state="frozen"/>
      <selection activeCell="L43" sqref="L43"/>
      <selection pane="topRight" activeCell="L43" sqref="L43"/>
      <selection pane="bottomLeft" activeCell="L43" sqref="L43"/>
      <selection pane="bottomRight" activeCell="N21" sqref="N21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1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1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1" x14ac:dyDescent="0.2">
      <c r="A4" s="12"/>
      <c r="B4" s="6" t="s">
        <v>97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1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1" x14ac:dyDescent="0.2">
      <c r="A8" s="20"/>
      <c r="B8" s="3" t="s">
        <v>35</v>
      </c>
      <c r="C8" s="21">
        <f t="shared" ref="C8:G8" si="0">SUM(C9:C12)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>F8-G8</f>
        <v>0</v>
      </c>
      <c r="I8" s="21">
        <f t="shared" ref="I8" si="1">SUM(I9:I12)</f>
        <v>0</v>
      </c>
      <c r="J8" s="44">
        <v>0</v>
      </c>
      <c r="K8" s="44">
        <v>0</v>
      </c>
    </row>
    <row r="9" spans="1:11" x14ac:dyDescent="0.2">
      <c r="A9" s="22" t="s">
        <v>39</v>
      </c>
      <c r="B9" s="23" t="s">
        <v>1</v>
      </c>
      <c r="C9" s="21"/>
      <c r="D9" s="21"/>
      <c r="E9" s="21"/>
      <c r="F9" s="21">
        <f>D9+E9</f>
        <v>0</v>
      </c>
      <c r="G9" s="21"/>
      <c r="H9" s="21">
        <f t="shared" ref="H9:H29" si="2">F9-G9</f>
        <v>0</v>
      </c>
      <c r="I9" s="21"/>
      <c r="J9" s="44">
        <v>0</v>
      </c>
      <c r="K9" s="44">
        <v>0</v>
      </c>
    </row>
    <row r="10" spans="1:11" x14ac:dyDescent="0.2">
      <c r="A10" s="22" t="s">
        <v>40</v>
      </c>
      <c r="B10" s="23" t="s">
        <v>41</v>
      </c>
      <c r="C10" s="21"/>
      <c r="D10" s="21"/>
      <c r="E10" s="21"/>
      <c r="F10" s="21">
        <f>D10+E10</f>
        <v>0</v>
      </c>
      <c r="G10" s="21"/>
      <c r="H10" s="21">
        <f t="shared" si="2"/>
        <v>0</v>
      </c>
      <c r="I10" s="21"/>
      <c r="J10" s="44">
        <v>0</v>
      </c>
      <c r="K10" s="44">
        <v>0</v>
      </c>
    </row>
    <row r="11" spans="1:11" x14ac:dyDescent="0.2">
      <c r="A11" s="22" t="s">
        <v>42</v>
      </c>
      <c r="B11" s="23" t="s">
        <v>2</v>
      </c>
      <c r="C11" s="21"/>
      <c r="D11" s="21"/>
      <c r="E11" s="21"/>
      <c r="F11" s="21">
        <f>D11+E11</f>
        <v>0</v>
      </c>
      <c r="G11" s="21"/>
      <c r="H11" s="21">
        <f t="shared" si="2"/>
        <v>0</v>
      </c>
      <c r="I11" s="21"/>
      <c r="J11" s="44">
        <v>0</v>
      </c>
      <c r="K11" s="44">
        <v>0</v>
      </c>
    </row>
    <row r="12" spans="1:11" x14ac:dyDescent="0.2">
      <c r="A12" s="22" t="s">
        <v>43</v>
      </c>
      <c r="B12" s="23" t="s">
        <v>3</v>
      </c>
      <c r="C12" s="21"/>
      <c r="D12" s="21"/>
      <c r="E12" s="21"/>
      <c r="F12" s="21">
        <f>D12+E12</f>
        <v>0</v>
      </c>
      <c r="G12" s="21"/>
      <c r="H12" s="21">
        <f t="shared" si="2"/>
        <v>0</v>
      </c>
      <c r="I12" s="21"/>
      <c r="J12" s="44">
        <v>0</v>
      </c>
      <c r="K12" s="44">
        <v>0</v>
      </c>
    </row>
    <row r="13" spans="1:11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">
      <c r="A14" s="25"/>
      <c r="B14" s="3" t="s">
        <v>4</v>
      </c>
      <c r="C14" s="21">
        <f t="shared" ref="C14:G14" si="3">SUM(C15:C20)</f>
        <v>0</v>
      </c>
      <c r="D14" s="21">
        <f t="shared" si="3"/>
        <v>0</v>
      </c>
      <c r="E14" s="21">
        <f t="shared" si="3"/>
        <v>0</v>
      </c>
      <c r="F14" s="21">
        <f t="shared" si="3"/>
        <v>0</v>
      </c>
      <c r="G14" s="21">
        <f t="shared" si="3"/>
        <v>0</v>
      </c>
      <c r="H14" s="21">
        <f t="shared" ref="H14" si="4">SUM(H15:H20)</f>
        <v>0</v>
      </c>
      <c r="I14" s="21">
        <f t="shared" ref="I14" si="5">SUM(I15:I20)</f>
        <v>0</v>
      </c>
      <c r="J14" s="44">
        <v>0</v>
      </c>
      <c r="K14" s="44">
        <v>0</v>
      </c>
    </row>
    <row r="15" spans="1:11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6">D15+E15</f>
        <v>0</v>
      </c>
      <c r="G15" s="21"/>
      <c r="H15" s="21">
        <f t="shared" si="2"/>
        <v>0</v>
      </c>
      <c r="I15" s="21"/>
      <c r="J15" s="44">
        <v>0</v>
      </c>
      <c r="K15" s="44">
        <v>0</v>
      </c>
    </row>
    <row r="16" spans="1:11" x14ac:dyDescent="0.2">
      <c r="A16" s="22" t="s">
        <v>45</v>
      </c>
      <c r="B16" s="23" t="s">
        <v>6</v>
      </c>
      <c r="C16" s="21"/>
      <c r="D16" s="21"/>
      <c r="E16" s="21"/>
      <c r="F16" s="21">
        <f t="shared" si="6"/>
        <v>0</v>
      </c>
      <c r="G16" s="21"/>
      <c r="H16" s="21">
        <f t="shared" si="2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/>
      <c r="D17" s="21"/>
      <c r="E17" s="21"/>
      <c r="F17" s="21">
        <f t="shared" si="6"/>
        <v>0</v>
      </c>
      <c r="G17" s="21"/>
      <c r="H17" s="21">
        <f t="shared" si="2"/>
        <v>0</v>
      </c>
      <c r="I17" s="21"/>
      <c r="J17" s="44">
        <v>0</v>
      </c>
      <c r="K17" s="44">
        <v>0</v>
      </c>
    </row>
    <row r="18" spans="1:11" x14ac:dyDescent="0.2">
      <c r="A18" s="22" t="s">
        <v>47</v>
      </c>
      <c r="B18" s="23" t="s">
        <v>8</v>
      </c>
      <c r="C18" s="21"/>
      <c r="D18" s="21"/>
      <c r="E18" s="21"/>
      <c r="F18" s="21">
        <f t="shared" si="6"/>
        <v>0</v>
      </c>
      <c r="G18" s="21"/>
      <c r="H18" s="21">
        <f t="shared" si="2"/>
        <v>0</v>
      </c>
      <c r="I18" s="21"/>
      <c r="J18" s="44">
        <v>0</v>
      </c>
      <c r="K18" s="44">
        <v>0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6"/>
        <v>0</v>
      </c>
      <c r="G19" s="21"/>
      <c r="H19" s="21">
        <f t="shared" si="2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/>
      <c r="D20" s="21"/>
      <c r="E20" s="21"/>
      <c r="F20" s="21">
        <f t="shared" si="6"/>
        <v>0</v>
      </c>
      <c r="G20" s="21"/>
      <c r="H20" s="21">
        <f t="shared" si="2"/>
        <v>0</v>
      </c>
      <c r="I20" s="21"/>
      <c r="J20" s="44">
        <v>0</v>
      </c>
      <c r="K20" s="44">
        <v>0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:I22" si="7">SUM(C23)</f>
        <v>0</v>
      </c>
      <c r="D22" s="21">
        <f t="shared" si="7"/>
        <v>0</v>
      </c>
      <c r="E22" s="21">
        <f t="shared" si="7"/>
        <v>0</v>
      </c>
      <c r="F22" s="21">
        <f t="shared" si="7"/>
        <v>0</v>
      </c>
      <c r="G22" s="21">
        <f t="shared" si="7"/>
        <v>0</v>
      </c>
      <c r="H22" s="21">
        <f t="shared" si="7"/>
        <v>0</v>
      </c>
      <c r="I22" s="21">
        <f t="shared" si="7"/>
        <v>0</v>
      </c>
      <c r="J22" s="44">
        <v>0</v>
      </c>
      <c r="K22" s="44">
        <v>0</v>
      </c>
    </row>
    <row r="23" spans="1:11" x14ac:dyDescent="0.2">
      <c r="A23" s="22" t="s">
        <v>50</v>
      </c>
      <c r="B23" s="23" t="s">
        <v>11</v>
      </c>
      <c r="C23" s="21"/>
      <c r="D23" s="21"/>
      <c r="E23" s="21"/>
      <c r="F23" s="21">
        <f>D23+E23</f>
        <v>0</v>
      </c>
      <c r="G23" s="21"/>
      <c r="H23" s="21">
        <f t="shared" si="2"/>
        <v>0</v>
      </c>
      <c r="I23" s="21"/>
      <c r="J23" s="44">
        <v>0</v>
      </c>
      <c r="K23" s="44">
        <v>0</v>
      </c>
    </row>
    <row r="24" spans="1:1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">
      <c r="A25" s="25"/>
      <c r="B25" s="3" t="s">
        <v>12</v>
      </c>
      <c r="C25" s="21">
        <f t="shared" ref="C25:I25" si="8">SUM(C26)</f>
        <v>0</v>
      </c>
      <c r="D25" s="21">
        <f t="shared" si="8"/>
        <v>0</v>
      </c>
      <c r="E25" s="21">
        <f t="shared" si="8"/>
        <v>0</v>
      </c>
      <c r="F25" s="21">
        <f t="shared" si="8"/>
        <v>0</v>
      </c>
      <c r="G25" s="21">
        <f t="shared" si="8"/>
        <v>0</v>
      </c>
      <c r="H25" s="21">
        <f t="shared" si="8"/>
        <v>0</v>
      </c>
      <c r="I25" s="21">
        <f t="shared" si="8"/>
        <v>0</v>
      </c>
      <c r="J25" s="44">
        <v>0</v>
      </c>
      <c r="K25" s="44">
        <v>0</v>
      </c>
    </row>
    <row r="26" spans="1:11" x14ac:dyDescent="0.2">
      <c r="A26" s="22" t="s">
        <v>51</v>
      </c>
      <c r="B26" s="23" t="s">
        <v>12</v>
      </c>
      <c r="C26" s="21"/>
      <c r="D26" s="21"/>
      <c r="E26" s="21"/>
      <c r="F26" s="21">
        <f>D26+E26</f>
        <v>0</v>
      </c>
      <c r="G26" s="21"/>
      <c r="H26" s="21">
        <f t="shared" si="2"/>
        <v>0</v>
      </c>
      <c r="I26" s="21"/>
      <c r="J26" s="44">
        <v>0</v>
      </c>
      <c r="K26" s="44">
        <v>0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:I28" si="9">SUM(C29)</f>
        <v>0</v>
      </c>
      <c r="D28" s="21">
        <f t="shared" si="9"/>
        <v>0</v>
      </c>
      <c r="E28" s="21">
        <f t="shared" si="9"/>
        <v>0</v>
      </c>
      <c r="F28" s="21">
        <f t="shared" si="9"/>
        <v>0</v>
      </c>
      <c r="G28" s="21">
        <f t="shared" si="9"/>
        <v>0</v>
      </c>
      <c r="H28" s="21">
        <f t="shared" si="9"/>
        <v>0</v>
      </c>
      <c r="I28" s="21">
        <f t="shared" si="9"/>
        <v>0</v>
      </c>
      <c r="J28" s="44">
        <v>0</v>
      </c>
      <c r="K28" s="44">
        <v>0</v>
      </c>
    </row>
    <row r="29" spans="1:11" x14ac:dyDescent="0.2">
      <c r="A29" s="22" t="s">
        <v>52</v>
      </c>
      <c r="B29" s="23" t="s">
        <v>13</v>
      </c>
      <c r="C29" s="21"/>
      <c r="D29" s="21"/>
      <c r="E29" s="21"/>
      <c r="F29" s="21">
        <f>D29+E29</f>
        <v>0</v>
      </c>
      <c r="G29" s="21"/>
      <c r="H29" s="21">
        <f t="shared" si="2"/>
        <v>0</v>
      </c>
      <c r="I29" s="21"/>
      <c r="J29" s="44">
        <v>0</v>
      </c>
      <c r="K29" s="44">
        <v>0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:G31" si="10">C28+C25+C22+C14+C8</f>
        <v>0</v>
      </c>
      <c r="D31" s="28">
        <f t="shared" si="10"/>
        <v>0</v>
      </c>
      <c r="E31" s="28">
        <f t="shared" si="10"/>
        <v>0</v>
      </c>
      <c r="F31" s="28">
        <f t="shared" si="10"/>
        <v>0</v>
      </c>
      <c r="G31" s="28">
        <f t="shared" si="10"/>
        <v>0</v>
      </c>
      <c r="H31" s="28">
        <f t="shared" ref="H31" si="11">F31-G31</f>
        <v>0</v>
      </c>
      <c r="I31" s="28">
        <f t="shared" ref="I31" si="12">I28+I25+I22+I14+I8</f>
        <v>0</v>
      </c>
      <c r="J31" s="45">
        <v>0</v>
      </c>
      <c r="K31" s="45">
        <v>0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5"/>
      <c r="B33" s="3" t="s">
        <v>15</v>
      </c>
      <c r="C33" s="21">
        <f t="shared" ref="C33:I33" si="13">SUM(C34)</f>
        <v>0</v>
      </c>
      <c r="D33" s="21">
        <f t="shared" si="13"/>
        <v>0</v>
      </c>
      <c r="E33" s="21">
        <f t="shared" si="13"/>
        <v>0</v>
      </c>
      <c r="F33" s="21">
        <f t="shared" si="13"/>
        <v>0</v>
      </c>
      <c r="G33" s="21">
        <f t="shared" si="13"/>
        <v>0</v>
      </c>
      <c r="H33" s="21">
        <f>IF(G33=0,0,G33-F33)</f>
        <v>0</v>
      </c>
      <c r="I33" s="21">
        <f t="shared" si="13"/>
        <v>0</v>
      </c>
      <c r="J33" s="21">
        <v>0</v>
      </c>
      <c r="K33" s="21">
        <v>0</v>
      </c>
    </row>
    <row r="34" spans="1:11" x14ac:dyDescent="0.2">
      <c r="A34" s="22" t="s">
        <v>53</v>
      </c>
      <c r="B34" s="23" t="s">
        <v>15</v>
      </c>
      <c r="C34" s="21"/>
      <c r="D34" s="21"/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1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1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25"/>
      <c r="B38" s="29" t="s">
        <v>36</v>
      </c>
      <c r="C38" s="21">
        <f>SUM(C39:C42)</f>
        <v>7200629.6900000004</v>
      </c>
      <c r="D38" s="21">
        <f>SUM(D39:D42)</f>
        <v>7031148.1200000001</v>
      </c>
      <c r="E38" s="21">
        <f>SUM(E39:E42)</f>
        <v>0</v>
      </c>
      <c r="F38" s="21">
        <f>SUM(F39:F42)</f>
        <v>7031148.1200000001</v>
      </c>
      <c r="G38" s="21">
        <f>SUM(G39:G42)</f>
        <v>6578901.7000000002</v>
      </c>
      <c r="H38" s="21">
        <f t="shared" ref="H38:H59" si="14">F38-G38</f>
        <v>452246.41999999993</v>
      </c>
      <c r="I38" s="21">
        <f>SUM(I39:I42)</f>
        <v>6432549</v>
      </c>
      <c r="J38" s="44">
        <f t="shared" ref="J38:J41" si="15">(I38-F38)/F38</f>
        <v>-8.5135330643553581E-2</v>
      </c>
      <c r="K38" s="44">
        <f t="shared" ref="K38:K40" si="16">(I38-G38)/G38</f>
        <v>-2.2245764821201112E-2</v>
      </c>
    </row>
    <row r="39" spans="1:11" x14ac:dyDescent="0.2">
      <c r="A39" s="22" t="s">
        <v>54</v>
      </c>
      <c r="B39" s="23" t="s">
        <v>17</v>
      </c>
      <c r="C39" s="21">
        <v>237208.15</v>
      </c>
      <c r="D39" s="21">
        <v>350000.04</v>
      </c>
      <c r="E39" s="21"/>
      <c r="F39" s="21">
        <f>D39+E39</f>
        <v>350000.04</v>
      </c>
      <c r="G39" s="21"/>
      <c r="H39" s="21">
        <f t="shared" si="14"/>
        <v>350000.04</v>
      </c>
      <c r="I39" s="21"/>
      <c r="J39" s="44">
        <f t="shared" si="15"/>
        <v>-1</v>
      </c>
      <c r="K39" s="44">
        <v>0</v>
      </c>
    </row>
    <row r="40" spans="1:11" x14ac:dyDescent="0.2">
      <c r="A40" s="22" t="s">
        <v>55</v>
      </c>
      <c r="B40" s="23" t="s">
        <v>18</v>
      </c>
      <c r="C40" s="21">
        <v>7019639.3700000001</v>
      </c>
      <c r="D40" s="21">
        <v>6660008.04</v>
      </c>
      <c r="E40" s="21"/>
      <c r="F40" s="21">
        <f>D40+E40</f>
        <v>6660008.04</v>
      </c>
      <c r="G40" s="21">
        <f>5579303.95+1000611.32-4690.74+3677.17</f>
        <v>6578901.7000000002</v>
      </c>
      <c r="H40" s="21">
        <f t="shared" si="14"/>
        <v>81106.339999999851</v>
      </c>
      <c r="I40" s="21">
        <v>6432549</v>
      </c>
      <c r="J40" s="44">
        <f t="shared" si="15"/>
        <v>-3.4152967779300165E-2</v>
      </c>
      <c r="K40" s="44">
        <f t="shared" si="16"/>
        <v>-2.2245764821201112E-2</v>
      </c>
    </row>
    <row r="41" spans="1:11" x14ac:dyDescent="0.2">
      <c r="A41" s="22" t="s">
        <v>56</v>
      </c>
      <c r="B41" s="23" t="s">
        <v>19</v>
      </c>
      <c r="C41" s="21">
        <v>-56217.83</v>
      </c>
      <c r="D41" s="21">
        <v>21140.04</v>
      </c>
      <c r="E41" s="21"/>
      <c r="F41" s="21">
        <f>D41+E41</f>
        <v>21140.04</v>
      </c>
      <c r="G41" s="21"/>
      <c r="H41" s="21">
        <f t="shared" si="14"/>
        <v>21140.04</v>
      </c>
      <c r="I41" s="21"/>
      <c r="J41" s="44">
        <f t="shared" si="15"/>
        <v>-1</v>
      </c>
      <c r="K41" s="44">
        <v>0</v>
      </c>
    </row>
    <row r="42" spans="1:11" x14ac:dyDescent="0.2">
      <c r="A42" s="22" t="s">
        <v>57</v>
      </c>
      <c r="B42" s="23" t="s">
        <v>20</v>
      </c>
      <c r="C42" s="21"/>
      <c r="D42" s="21"/>
      <c r="E42" s="21"/>
      <c r="F42" s="21">
        <f>D42+E42</f>
        <v>0</v>
      </c>
      <c r="G42" s="21"/>
      <c r="H42" s="21">
        <f t="shared" si="14"/>
        <v>0</v>
      </c>
      <c r="I42" s="21"/>
      <c r="J42" s="44">
        <v>0</v>
      </c>
      <c r="K42" s="44">
        <v>0</v>
      </c>
    </row>
    <row r="43" spans="1:11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A44" s="25"/>
      <c r="B44" s="29" t="s">
        <v>37</v>
      </c>
      <c r="C44" s="21">
        <f t="shared" ref="C44:G44" si="17">SUM(C45:C46)</f>
        <v>0</v>
      </c>
      <c r="D44" s="21">
        <f t="shared" si="17"/>
        <v>0</v>
      </c>
      <c r="E44" s="21">
        <f t="shared" si="17"/>
        <v>0</v>
      </c>
      <c r="F44" s="21">
        <f t="shared" si="17"/>
        <v>0</v>
      </c>
      <c r="G44" s="21">
        <f t="shared" si="17"/>
        <v>0</v>
      </c>
      <c r="H44" s="21">
        <f t="shared" ref="H44" si="18">SUM(H45:H46)</f>
        <v>0</v>
      </c>
      <c r="I44" s="21">
        <f t="shared" ref="I44" si="19">SUM(I45:I46)</f>
        <v>0</v>
      </c>
      <c r="J44" s="44">
        <v>0</v>
      </c>
      <c r="K44" s="44">
        <v>0</v>
      </c>
    </row>
    <row r="45" spans="1:11" x14ac:dyDescent="0.2">
      <c r="A45" s="22" t="s">
        <v>58</v>
      </c>
      <c r="B45" s="23" t="s">
        <v>21</v>
      </c>
      <c r="C45" s="21"/>
      <c r="D45" s="21"/>
      <c r="E45" s="21"/>
      <c r="F45" s="21">
        <f>D45+E45</f>
        <v>0</v>
      </c>
      <c r="G45" s="21"/>
      <c r="H45" s="21">
        <f t="shared" si="14"/>
        <v>0</v>
      </c>
      <c r="I45" s="21"/>
      <c r="J45" s="44">
        <v>0</v>
      </c>
      <c r="K45" s="44">
        <v>0</v>
      </c>
    </row>
    <row r="46" spans="1:11" x14ac:dyDescent="0.2">
      <c r="A46" s="22" t="s">
        <v>59</v>
      </c>
      <c r="B46" s="23" t="s">
        <v>22</v>
      </c>
      <c r="C46" s="21"/>
      <c r="D46" s="21"/>
      <c r="E46" s="21"/>
      <c r="F46" s="21">
        <f>D46+E46</f>
        <v>0</v>
      </c>
      <c r="G46" s="21">
        <v>0</v>
      </c>
      <c r="H46" s="21">
        <f t="shared" si="14"/>
        <v>0</v>
      </c>
      <c r="I46" s="21">
        <v>0</v>
      </c>
      <c r="J46" s="44">
        <v>0</v>
      </c>
      <c r="K46" s="44">
        <v>0</v>
      </c>
    </row>
    <row r="47" spans="1:11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2">
      <c r="A48" s="25"/>
      <c r="B48" s="29" t="s">
        <v>38</v>
      </c>
      <c r="C48" s="21">
        <f t="shared" ref="C48:G48" si="20">SUM(C49:C50)</f>
        <v>0</v>
      </c>
      <c r="D48" s="21">
        <f t="shared" si="20"/>
        <v>0</v>
      </c>
      <c r="E48" s="21">
        <f t="shared" si="20"/>
        <v>0</v>
      </c>
      <c r="F48" s="21">
        <f t="shared" si="20"/>
        <v>0</v>
      </c>
      <c r="G48" s="21">
        <f t="shared" si="20"/>
        <v>0</v>
      </c>
      <c r="H48" s="21">
        <f t="shared" ref="H48" si="21">SUM(H49:H50)</f>
        <v>0</v>
      </c>
      <c r="I48" s="21">
        <f t="shared" ref="I48" si="22">SUM(I49:I50)</f>
        <v>0</v>
      </c>
      <c r="J48" s="44">
        <v>0</v>
      </c>
      <c r="K48" s="44">
        <v>0</v>
      </c>
    </row>
    <row r="49" spans="1:11" x14ac:dyDescent="0.2">
      <c r="A49" s="22" t="s">
        <v>60</v>
      </c>
      <c r="B49" s="23" t="s">
        <v>23</v>
      </c>
      <c r="C49" s="21"/>
      <c r="D49" s="21"/>
      <c r="E49" s="21"/>
      <c r="F49" s="21">
        <f>D49+E49</f>
        <v>0</v>
      </c>
      <c r="G49" s="21"/>
      <c r="H49" s="21">
        <f t="shared" si="14"/>
        <v>0</v>
      </c>
      <c r="I49" s="21"/>
      <c r="J49" s="44">
        <v>0</v>
      </c>
      <c r="K49" s="44">
        <v>0</v>
      </c>
    </row>
    <row r="50" spans="1:11" x14ac:dyDescent="0.2">
      <c r="A50" s="22" t="s">
        <v>61</v>
      </c>
      <c r="B50" s="23" t="s">
        <v>24</v>
      </c>
      <c r="C50" s="21"/>
      <c r="D50" s="21"/>
      <c r="E50" s="21"/>
      <c r="F50" s="21">
        <f>D50+E50</f>
        <v>0</v>
      </c>
      <c r="G50" s="21"/>
      <c r="H50" s="21">
        <f t="shared" si="14"/>
        <v>0</v>
      </c>
      <c r="I50" s="21"/>
      <c r="J50" s="44">
        <v>0</v>
      </c>
      <c r="K50" s="44">
        <v>0</v>
      </c>
    </row>
    <row r="51" spans="1:11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A52" s="25"/>
      <c r="B52" s="29" t="s">
        <v>25</v>
      </c>
      <c r="C52" s="21">
        <f t="shared" ref="C52:G52" si="23">SUM(C53:C55)</f>
        <v>0</v>
      </c>
      <c r="D52" s="21">
        <f t="shared" si="23"/>
        <v>0</v>
      </c>
      <c r="E52" s="21">
        <f t="shared" si="23"/>
        <v>0</v>
      </c>
      <c r="F52" s="21">
        <f t="shared" si="23"/>
        <v>0</v>
      </c>
      <c r="G52" s="21">
        <f t="shared" si="23"/>
        <v>0</v>
      </c>
      <c r="H52" s="21">
        <f t="shared" ref="H52" si="24">SUM(H53:H55)</f>
        <v>0</v>
      </c>
      <c r="I52" s="21">
        <f t="shared" ref="I52" si="25">SUM(I53:I55)</f>
        <v>0</v>
      </c>
      <c r="J52" s="44">
        <v>0</v>
      </c>
      <c r="K52" s="44">
        <v>0</v>
      </c>
    </row>
    <row r="53" spans="1:11" x14ac:dyDescent="0.2">
      <c r="A53" s="22" t="s">
        <v>62</v>
      </c>
      <c r="B53" s="23" t="s">
        <v>26</v>
      </c>
      <c r="C53" s="21"/>
      <c r="D53" s="21"/>
      <c r="E53" s="21"/>
      <c r="F53" s="21">
        <f>D53+E53</f>
        <v>0</v>
      </c>
      <c r="G53" s="21"/>
      <c r="H53" s="21">
        <f t="shared" si="14"/>
        <v>0</v>
      </c>
      <c r="I53" s="21"/>
      <c r="J53" s="44">
        <v>0</v>
      </c>
      <c r="K53" s="44">
        <v>0</v>
      </c>
    </row>
    <row r="54" spans="1:11" x14ac:dyDescent="0.2">
      <c r="A54" s="22" t="s">
        <v>63</v>
      </c>
      <c r="B54" s="23" t="s">
        <v>27</v>
      </c>
      <c r="C54" s="21"/>
      <c r="D54" s="21"/>
      <c r="E54" s="21"/>
      <c r="F54" s="21">
        <f>D54+E54</f>
        <v>0</v>
      </c>
      <c r="G54" s="21"/>
      <c r="H54" s="21">
        <f t="shared" si="14"/>
        <v>0</v>
      </c>
      <c r="I54" s="21"/>
      <c r="J54" s="44">
        <v>0</v>
      </c>
      <c r="K54" s="44">
        <v>0</v>
      </c>
    </row>
    <row r="55" spans="1:11" x14ac:dyDescent="0.2">
      <c r="A55" s="22" t="s">
        <v>64</v>
      </c>
      <c r="B55" s="23" t="s">
        <v>28</v>
      </c>
      <c r="C55" s="21"/>
      <c r="D55" s="21"/>
      <c r="E55" s="21"/>
      <c r="F55" s="21">
        <f>D55+E55</f>
        <v>0</v>
      </c>
      <c r="G55" s="21"/>
      <c r="H55" s="21">
        <f t="shared" si="14"/>
        <v>0</v>
      </c>
      <c r="I55" s="21"/>
      <c r="J55" s="44">
        <v>0</v>
      </c>
      <c r="K55" s="44">
        <v>0</v>
      </c>
    </row>
    <row r="56" spans="1:11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2">
      <c r="A57" s="25"/>
      <c r="B57" s="29" t="s">
        <v>29</v>
      </c>
      <c r="C57" s="21">
        <f t="shared" ref="C57:G57" si="26">SUM(C58:C59)</f>
        <v>0</v>
      </c>
      <c r="D57" s="21">
        <f t="shared" si="26"/>
        <v>0</v>
      </c>
      <c r="E57" s="21">
        <f t="shared" si="26"/>
        <v>0</v>
      </c>
      <c r="F57" s="21">
        <f t="shared" si="26"/>
        <v>0</v>
      </c>
      <c r="G57" s="21">
        <f t="shared" si="26"/>
        <v>0</v>
      </c>
      <c r="H57" s="21">
        <f t="shared" ref="H57" si="27">SUM(H58:H59)</f>
        <v>0</v>
      </c>
      <c r="I57" s="21">
        <f t="shared" ref="I57" si="28">SUM(I58:I59)</f>
        <v>0</v>
      </c>
      <c r="J57" s="44">
        <v>0</v>
      </c>
      <c r="K57" s="44">
        <v>0</v>
      </c>
    </row>
    <row r="58" spans="1:11" x14ac:dyDescent="0.2">
      <c r="A58" s="22" t="s">
        <v>65</v>
      </c>
      <c r="B58" s="23" t="s">
        <v>30</v>
      </c>
      <c r="C58" s="21"/>
      <c r="D58" s="21"/>
      <c r="E58" s="21"/>
      <c r="F58" s="21">
        <f>D58+E58</f>
        <v>0</v>
      </c>
      <c r="G58" s="21">
        <v>0</v>
      </c>
      <c r="H58" s="21">
        <f t="shared" si="14"/>
        <v>0</v>
      </c>
      <c r="I58" s="21">
        <v>0</v>
      </c>
      <c r="J58" s="44">
        <v>0</v>
      </c>
      <c r="K58" s="44">
        <v>0</v>
      </c>
    </row>
    <row r="59" spans="1:11" x14ac:dyDescent="0.2">
      <c r="A59" s="22" t="s">
        <v>66</v>
      </c>
      <c r="B59" s="23" t="s">
        <v>31</v>
      </c>
      <c r="C59" s="21"/>
      <c r="D59" s="21"/>
      <c r="E59" s="21"/>
      <c r="F59" s="21">
        <f>D59+E59</f>
        <v>0</v>
      </c>
      <c r="G59" s="21"/>
      <c r="H59" s="21">
        <f t="shared" si="14"/>
        <v>0</v>
      </c>
      <c r="I59" s="21"/>
      <c r="J59" s="44">
        <v>0</v>
      </c>
      <c r="K59" s="44">
        <v>0</v>
      </c>
    </row>
    <row r="60" spans="1:11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1" ht="15" x14ac:dyDescent="0.25">
      <c r="A61" s="33"/>
      <c r="B61" s="27" t="s">
        <v>32</v>
      </c>
      <c r="C61" s="28">
        <f t="shared" ref="C61:G61" si="29">C57+C52+C48+C44+C38</f>
        <v>7200629.6900000004</v>
      </c>
      <c r="D61" s="28">
        <f t="shared" si="29"/>
        <v>7031148.1200000001</v>
      </c>
      <c r="E61" s="28">
        <f t="shared" si="29"/>
        <v>0</v>
      </c>
      <c r="F61" s="28">
        <f t="shared" si="29"/>
        <v>7031148.1200000001</v>
      </c>
      <c r="G61" s="28">
        <f t="shared" si="29"/>
        <v>6578901.7000000002</v>
      </c>
      <c r="H61" s="28">
        <f t="shared" ref="H61" si="30">F61-G61</f>
        <v>452246.41999999993</v>
      </c>
      <c r="I61" s="28">
        <f t="shared" ref="I61" si="31">I57+I52+I48+I44+I38</f>
        <v>6432549</v>
      </c>
      <c r="J61" s="45">
        <f t="shared" ref="J61" si="32">(I61-F61)/F61</f>
        <v>-8.5135330643553581E-2</v>
      </c>
      <c r="K61" s="45">
        <f t="shared" ref="K61" si="33">(I61-G61)/G61</f>
        <v>-2.2245764821201112E-2</v>
      </c>
    </row>
    <row r="62" spans="1:11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15" x14ac:dyDescent="0.25">
      <c r="A63" s="33"/>
      <c r="B63" s="27" t="s">
        <v>33</v>
      </c>
      <c r="C63" s="28">
        <f t="shared" ref="C63:G63" si="34">C31+C33-C61</f>
        <v>-7200629.6900000004</v>
      </c>
      <c r="D63" s="28">
        <f t="shared" si="34"/>
        <v>-7031148.1200000001</v>
      </c>
      <c r="E63" s="28">
        <f t="shared" si="34"/>
        <v>0</v>
      </c>
      <c r="F63" s="28">
        <f t="shared" si="34"/>
        <v>-7031148.1200000001</v>
      </c>
      <c r="G63" s="28">
        <f t="shared" si="34"/>
        <v>-6578901.7000000002</v>
      </c>
      <c r="H63" s="28">
        <f t="shared" ref="H63" si="35">H31-H61</f>
        <v>-452246.41999999993</v>
      </c>
      <c r="I63" s="28">
        <f t="shared" ref="I63" si="36">I31+I33-I61</f>
        <v>-6432549</v>
      </c>
      <c r="J63" s="45">
        <f>(I63-F63)/F63</f>
        <v>-8.5135330643553581E-2</v>
      </c>
      <c r="K63" s="45">
        <f>(I63-G63)/G63</f>
        <v>-2.2245764821201112E-2</v>
      </c>
    </row>
    <row r="64" spans="1:11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</row>
    <row r="66" spans="10:11" x14ac:dyDescent="0.2">
      <c r="J66" s="41"/>
      <c r="K66" s="41"/>
    </row>
  </sheetData>
  <phoneticPr fontId="7" type="noConversion"/>
  <pageMargins left="0.78740157480314965" right="0.78740157480314965" top="0.78740157480314965" bottom="0.78740157480314965" header="0.51181102362204722" footer="0.51181102362204722"/>
  <pageSetup paperSize="9" scale="52" orientation="portrait" r:id="rId1"/>
  <headerFooter alignWithMargins="0"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>
    <pageSetUpPr fitToPage="1"/>
  </sheetPr>
  <dimension ref="A1:M66"/>
  <sheetViews>
    <sheetView zoomScale="84" zoomScaleNormal="84" workbookViewId="0">
      <pane xSplit="2" ySplit="5" topLeftCell="C6" activePane="bottomRight" state="frozen"/>
      <selection activeCell="H13" sqref="H13"/>
      <selection pane="topRight" activeCell="H13" sqref="H13"/>
      <selection pane="bottomLeft" activeCell="H13" sqref="H13"/>
      <selection pane="bottomRight" activeCell="J1" sqref="J1:K1048576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1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1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1" x14ac:dyDescent="0.2">
      <c r="A4" s="12"/>
      <c r="B4" s="6" t="s">
        <v>98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1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1" x14ac:dyDescent="0.2">
      <c r="A8" s="20"/>
      <c r="B8" s="3" t="s">
        <v>35</v>
      </c>
      <c r="C8" s="21">
        <f t="shared" ref="C8" si="0">SUM(C9:C12)</f>
        <v>23067.06</v>
      </c>
      <c r="D8" s="21">
        <f t="shared" ref="D8:G8" si="1">SUM(D9:D12)</f>
        <v>1744.92</v>
      </c>
      <c r="E8" s="21">
        <f t="shared" si="1"/>
        <v>0</v>
      </c>
      <c r="F8" s="21">
        <f t="shared" si="1"/>
        <v>1744.92</v>
      </c>
      <c r="G8" s="21">
        <f t="shared" si="1"/>
        <v>6246</v>
      </c>
      <c r="H8" s="21">
        <f>F8-G8</f>
        <v>-4501.08</v>
      </c>
      <c r="I8" s="21">
        <f t="shared" ref="I8" si="2">SUM(I9:I12)</f>
        <v>1600</v>
      </c>
      <c r="J8" s="44">
        <f>(I8-F8)/F8</f>
        <v>-8.3052518167022027E-2</v>
      </c>
      <c r="K8" s="44">
        <f>(I8-G8)/G8</f>
        <v>-0.74383605507524819</v>
      </c>
    </row>
    <row r="9" spans="1:11" x14ac:dyDescent="0.2">
      <c r="A9" s="22" t="s">
        <v>39</v>
      </c>
      <c r="B9" s="23" t="s">
        <v>1</v>
      </c>
      <c r="C9" s="21">
        <v>1941.04</v>
      </c>
      <c r="D9" s="21">
        <v>1744.92</v>
      </c>
      <c r="E9" s="21"/>
      <c r="F9" s="21">
        <f>D9+E9</f>
        <v>1744.92</v>
      </c>
      <c r="G9" s="21">
        <v>2246</v>
      </c>
      <c r="H9" s="21">
        <f t="shared" ref="H9:H29" si="3">F9-G9</f>
        <v>-501.07999999999993</v>
      </c>
      <c r="I9" s="21">
        <v>1600</v>
      </c>
      <c r="J9" s="44">
        <f t="shared" ref="J9:J29" si="4">(I9-F9)/F9</f>
        <v>-8.3052518167022027E-2</v>
      </c>
      <c r="K9" s="44">
        <f t="shared" ref="K9:K29" si="5">(I9-G9)/G9</f>
        <v>-0.28762243989314334</v>
      </c>
    </row>
    <row r="10" spans="1:11" x14ac:dyDescent="0.2">
      <c r="A10" s="22" t="s">
        <v>40</v>
      </c>
      <c r="B10" s="23" t="s">
        <v>41</v>
      </c>
      <c r="C10" s="21"/>
      <c r="D10" s="21">
        <v>0</v>
      </c>
      <c r="E10" s="21"/>
      <c r="F10" s="21">
        <f>D10+E10</f>
        <v>0</v>
      </c>
      <c r="G10" s="21"/>
      <c r="H10" s="21">
        <f t="shared" si="3"/>
        <v>0</v>
      </c>
      <c r="I10" s="21"/>
      <c r="J10" s="44">
        <v>0</v>
      </c>
      <c r="K10" s="44">
        <v>0</v>
      </c>
    </row>
    <row r="11" spans="1:11" x14ac:dyDescent="0.2">
      <c r="A11" s="22" t="s">
        <v>42</v>
      </c>
      <c r="B11" s="23" t="s">
        <v>2</v>
      </c>
      <c r="C11" s="21"/>
      <c r="D11" s="21"/>
      <c r="E11" s="21"/>
      <c r="F11" s="21">
        <f>D11+E11</f>
        <v>0</v>
      </c>
      <c r="G11" s="21"/>
      <c r="H11" s="21">
        <f t="shared" si="3"/>
        <v>0</v>
      </c>
      <c r="I11" s="21"/>
      <c r="J11" s="44">
        <v>0</v>
      </c>
      <c r="K11" s="44">
        <v>0</v>
      </c>
    </row>
    <row r="12" spans="1:11" x14ac:dyDescent="0.2">
      <c r="A12" s="22" t="s">
        <v>43</v>
      </c>
      <c r="B12" s="23" t="s">
        <v>3</v>
      </c>
      <c r="C12" s="21">
        <v>21126.02</v>
      </c>
      <c r="D12" s="21"/>
      <c r="E12" s="21"/>
      <c r="F12" s="21">
        <f>D12+E12</f>
        <v>0</v>
      </c>
      <c r="G12" s="21">
        <v>4000</v>
      </c>
      <c r="H12" s="21">
        <f t="shared" si="3"/>
        <v>-4000</v>
      </c>
      <c r="I12" s="21"/>
      <c r="J12" s="44">
        <v>0</v>
      </c>
      <c r="K12" s="44">
        <f t="shared" si="5"/>
        <v>-1</v>
      </c>
    </row>
    <row r="13" spans="1:11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">
      <c r="A14" s="25"/>
      <c r="B14" s="3" t="s">
        <v>4</v>
      </c>
      <c r="C14" s="21">
        <f t="shared" ref="C14" si="6">SUM(C15:C20)</f>
        <v>72478.25</v>
      </c>
      <c r="D14" s="21">
        <f t="shared" ref="D14:G14" si="7">SUM(D15:D20)</f>
        <v>800.04</v>
      </c>
      <c r="E14" s="21">
        <f t="shared" si="7"/>
        <v>0</v>
      </c>
      <c r="F14" s="21">
        <f t="shared" si="7"/>
        <v>800.04</v>
      </c>
      <c r="G14" s="21">
        <f t="shared" si="7"/>
        <v>29500</v>
      </c>
      <c r="H14" s="21">
        <f t="shared" ref="H14" si="8">SUM(H15:H20)</f>
        <v>-28699.96</v>
      </c>
      <c r="I14" s="21">
        <f t="shared" ref="I14" si="9">SUM(I15:I20)</f>
        <v>31700</v>
      </c>
      <c r="J14" s="44">
        <f t="shared" si="4"/>
        <v>38.623018849057544</v>
      </c>
      <c r="K14" s="44">
        <f t="shared" si="5"/>
        <v>7.4576271186440682E-2</v>
      </c>
    </row>
    <row r="15" spans="1:11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10">D15+E15</f>
        <v>0</v>
      </c>
      <c r="G15" s="21"/>
      <c r="H15" s="21">
        <f t="shared" si="3"/>
        <v>0</v>
      </c>
      <c r="I15" s="21"/>
      <c r="J15" s="44">
        <v>0</v>
      </c>
      <c r="K15" s="44">
        <v>0</v>
      </c>
    </row>
    <row r="16" spans="1:11" x14ac:dyDescent="0.2">
      <c r="A16" s="22" t="s">
        <v>45</v>
      </c>
      <c r="B16" s="23" t="s">
        <v>6</v>
      </c>
      <c r="C16" s="21"/>
      <c r="D16" s="21"/>
      <c r="E16" s="21"/>
      <c r="F16" s="21">
        <f t="shared" si="10"/>
        <v>0</v>
      </c>
      <c r="G16" s="21"/>
      <c r="H16" s="21">
        <f t="shared" si="3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/>
      <c r="D17" s="21"/>
      <c r="E17" s="21"/>
      <c r="F17" s="21">
        <f t="shared" si="10"/>
        <v>0</v>
      </c>
      <c r="G17" s="21"/>
      <c r="H17" s="21">
        <f t="shared" si="3"/>
        <v>0</v>
      </c>
      <c r="I17" s="21"/>
      <c r="J17" s="44">
        <v>0</v>
      </c>
      <c r="K17" s="44">
        <v>0</v>
      </c>
    </row>
    <row r="18" spans="1:11" x14ac:dyDescent="0.2">
      <c r="A18" s="22" t="s">
        <v>47</v>
      </c>
      <c r="B18" s="23" t="s">
        <v>8</v>
      </c>
      <c r="C18" s="21">
        <v>58696.9</v>
      </c>
      <c r="D18" s="21">
        <v>800.04</v>
      </c>
      <c r="E18" s="21"/>
      <c r="F18" s="21">
        <f t="shared" si="10"/>
        <v>800.04</v>
      </c>
      <c r="G18" s="21">
        <v>29500</v>
      </c>
      <c r="H18" s="21">
        <f t="shared" si="3"/>
        <v>-28699.96</v>
      </c>
      <c r="I18" s="21">
        <v>1700</v>
      </c>
      <c r="J18" s="44">
        <f t="shared" si="4"/>
        <v>1.1248937553122345</v>
      </c>
      <c r="K18" s="44">
        <f t="shared" si="5"/>
        <v>-0.94237288135593222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10"/>
        <v>0</v>
      </c>
      <c r="G19" s="21"/>
      <c r="H19" s="21">
        <f t="shared" si="3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>
        <v>13781.35</v>
      </c>
      <c r="D20" s="21"/>
      <c r="E20" s="21"/>
      <c r="F20" s="21">
        <f t="shared" si="10"/>
        <v>0</v>
      </c>
      <c r="G20" s="21"/>
      <c r="H20" s="21">
        <f t="shared" si="3"/>
        <v>0</v>
      </c>
      <c r="I20" s="21">
        <v>30000</v>
      </c>
      <c r="J20" s="44">
        <v>0</v>
      </c>
      <c r="K20" s="44">
        <v>0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" si="11">SUM(C23)</f>
        <v>2807043.56</v>
      </c>
      <c r="D22" s="21">
        <f t="shared" ref="D22:H22" si="12">SUM(D23)</f>
        <v>1630445.88</v>
      </c>
      <c r="E22" s="21">
        <f t="shared" si="12"/>
        <v>0</v>
      </c>
      <c r="F22" s="21">
        <f t="shared" si="12"/>
        <v>1630445.88</v>
      </c>
      <c r="G22" s="21">
        <f t="shared" si="12"/>
        <v>2702257</v>
      </c>
      <c r="H22" s="21">
        <f t="shared" si="12"/>
        <v>-1071811.1200000001</v>
      </c>
      <c r="I22" s="21">
        <f t="shared" ref="I22" si="13">SUM(I23)</f>
        <v>1916505</v>
      </c>
      <c r="J22" s="44">
        <f t="shared" si="4"/>
        <v>0.17544839942801421</v>
      </c>
      <c r="K22" s="44">
        <f t="shared" si="5"/>
        <v>-0.29077619190180654</v>
      </c>
    </row>
    <row r="23" spans="1:11" x14ac:dyDescent="0.2">
      <c r="A23" s="22" t="s">
        <v>50</v>
      </c>
      <c r="B23" s="23" t="s">
        <v>11</v>
      </c>
      <c r="C23" s="21">
        <v>2807043.56</v>
      </c>
      <c r="D23" s="21">
        <v>1630445.88</v>
      </c>
      <c r="E23" s="21"/>
      <c r="F23" s="21">
        <f>D23+E23</f>
        <v>1630445.88</v>
      </c>
      <c r="G23" s="21">
        <v>2702257</v>
      </c>
      <c r="H23" s="21">
        <f t="shared" si="3"/>
        <v>-1071811.1200000001</v>
      </c>
      <c r="I23" s="21">
        <v>1916505</v>
      </c>
      <c r="J23" s="44">
        <f t="shared" si="4"/>
        <v>0.17544839942801421</v>
      </c>
      <c r="K23" s="44">
        <f t="shared" si="5"/>
        <v>-0.29077619190180654</v>
      </c>
    </row>
    <row r="24" spans="1:11" x14ac:dyDescent="0.2">
      <c r="A24" s="22"/>
      <c r="B24" s="23"/>
      <c r="C24" s="24"/>
      <c r="D24" s="24"/>
      <c r="E24" s="24"/>
      <c r="F24" s="24"/>
      <c r="G24" s="21"/>
      <c r="H24" s="21">
        <f t="shared" si="3"/>
        <v>0</v>
      </c>
      <c r="I24" s="21"/>
      <c r="J24" s="24"/>
      <c r="K24" s="24"/>
    </row>
    <row r="25" spans="1:11" x14ac:dyDescent="0.2">
      <c r="A25" s="25"/>
      <c r="B25" s="3" t="s">
        <v>12</v>
      </c>
      <c r="C25" s="21">
        <f t="shared" ref="C25" si="14">SUM(C26)</f>
        <v>12965.92</v>
      </c>
      <c r="D25" s="21">
        <f t="shared" ref="D25:G25" si="15">SUM(D26)</f>
        <v>8499.9599999999991</v>
      </c>
      <c r="E25" s="21">
        <f t="shared" si="15"/>
        <v>0</v>
      </c>
      <c r="F25" s="21">
        <f t="shared" si="15"/>
        <v>8499.9599999999991</v>
      </c>
      <c r="G25" s="21">
        <f t="shared" si="15"/>
        <v>10020</v>
      </c>
      <c r="H25" s="21">
        <f t="shared" si="3"/>
        <v>-1520.0400000000009</v>
      </c>
      <c r="I25" s="21">
        <f t="shared" ref="I25" si="16">SUM(I26)</f>
        <v>9000</v>
      </c>
      <c r="J25" s="44">
        <f t="shared" si="4"/>
        <v>5.8828512134174858E-2</v>
      </c>
      <c r="K25" s="44">
        <f t="shared" si="5"/>
        <v>-0.10179640718562874</v>
      </c>
    </row>
    <row r="26" spans="1:11" x14ac:dyDescent="0.2">
      <c r="A26" s="22" t="s">
        <v>51</v>
      </c>
      <c r="B26" s="23" t="s">
        <v>12</v>
      </c>
      <c r="C26" s="21">
        <v>12965.92</v>
      </c>
      <c r="D26" s="21">
        <v>8499.9599999999991</v>
      </c>
      <c r="E26" s="21"/>
      <c r="F26" s="21">
        <f>D26+E26</f>
        <v>8499.9599999999991</v>
      </c>
      <c r="G26" s="21">
        <v>10020</v>
      </c>
      <c r="H26" s="21">
        <f t="shared" si="3"/>
        <v>-1520.0400000000009</v>
      </c>
      <c r="I26" s="21">
        <v>9000</v>
      </c>
      <c r="J26" s="44">
        <f t="shared" si="4"/>
        <v>5.8828512134174858E-2</v>
      </c>
      <c r="K26" s="44">
        <f t="shared" si="5"/>
        <v>-0.10179640718562874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" si="17">SUM(C29)</f>
        <v>155807.81</v>
      </c>
      <c r="D28" s="21">
        <f>SUM(D29)</f>
        <v>19500</v>
      </c>
      <c r="E28" s="21">
        <f t="shared" ref="E28:H28" si="18">SUM(E29)</f>
        <v>0</v>
      </c>
      <c r="F28" s="21">
        <f t="shared" si="18"/>
        <v>19500</v>
      </c>
      <c r="G28" s="21">
        <f t="shared" si="18"/>
        <v>123000</v>
      </c>
      <c r="H28" s="21">
        <f t="shared" si="18"/>
        <v>-103500</v>
      </c>
      <c r="I28" s="21">
        <f t="shared" ref="I28" si="19">SUM(I29)</f>
        <v>17300</v>
      </c>
      <c r="J28" s="44">
        <f t="shared" si="4"/>
        <v>-0.11282051282051282</v>
      </c>
      <c r="K28" s="44">
        <f t="shared" si="5"/>
        <v>-0.85934959349593498</v>
      </c>
    </row>
    <row r="29" spans="1:11" x14ac:dyDescent="0.2">
      <c r="A29" s="22" t="s">
        <v>52</v>
      </c>
      <c r="B29" s="23" t="s">
        <v>13</v>
      </c>
      <c r="C29" s="21">
        <v>155807.81</v>
      </c>
      <c r="D29" s="21">
        <v>19500</v>
      </c>
      <c r="E29" s="21"/>
      <c r="F29" s="21">
        <f>D29+E29</f>
        <v>19500</v>
      </c>
      <c r="G29" s="21">
        <v>123000</v>
      </c>
      <c r="H29" s="21">
        <f t="shared" si="3"/>
        <v>-103500</v>
      </c>
      <c r="I29" s="21">
        <v>17300</v>
      </c>
      <c r="J29" s="44">
        <f t="shared" si="4"/>
        <v>-0.11282051282051282</v>
      </c>
      <c r="K29" s="44">
        <f t="shared" si="5"/>
        <v>-0.85934959349593498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" si="20">C28+C25+C22+C14+C8</f>
        <v>3071362.6</v>
      </c>
      <c r="D31" s="28">
        <f t="shared" ref="D31:G31" si="21">D28+D25+D22+D14+D8</f>
        <v>1660990.7999999998</v>
      </c>
      <c r="E31" s="28">
        <f t="shared" si="21"/>
        <v>0</v>
      </c>
      <c r="F31" s="28">
        <f t="shared" si="21"/>
        <v>1660990.7999999998</v>
      </c>
      <c r="G31" s="28">
        <f t="shared" si="21"/>
        <v>2871023</v>
      </c>
      <c r="H31" s="28">
        <f t="shared" ref="H31" si="22">F31-G31</f>
        <v>-1210032.2000000002</v>
      </c>
      <c r="I31" s="28">
        <f t="shared" ref="I31" si="23">I28+I25+I22+I14+I8</f>
        <v>1976105</v>
      </c>
      <c r="J31" s="45">
        <f t="shared" ref="J31" si="24">(I31-F31)/F31</f>
        <v>0.18971459685387795</v>
      </c>
      <c r="K31" s="45">
        <f t="shared" ref="K31" si="25">(I31-G31)/G31</f>
        <v>-0.31170701175156035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5"/>
      <c r="B33" s="3" t="s">
        <v>15</v>
      </c>
      <c r="C33" s="21">
        <f t="shared" ref="C33" si="26">SUM(C34)</f>
        <v>0</v>
      </c>
      <c r="D33" s="21">
        <f t="shared" ref="D33:G33" si="27">SUM(D34)</f>
        <v>0</v>
      </c>
      <c r="E33" s="21">
        <f t="shared" si="27"/>
        <v>0</v>
      </c>
      <c r="F33" s="21">
        <f t="shared" si="27"/>
        <v>0</v>
      </c>
      <c r="G33" s="21">
        <f t="shared" si="27"/>
        <v>0</v>
      </c>
      <c r="H33" s="21">
        <f>IF(G33=0,0,G33-F33)</f>
        <v>0</v>
      </c>
      <c r="I33" s="21">
        <f t="shared" ref="I33" si="28">SUM(I34)</f>
        <v>0</v>
      </c>
      <c r="J33" s="21">
        <v>0</v>
      </c>
      <c r="K33" s="21">
        <v>0</v>
      </c>
    </row>
    <row r="34" spans="1:11" x14ac:dyDescent="0.2">
      <c r="A34" s="22" t="s">
        <v>53</v>
      </c>
      <c r="B34" s="23" t="s">
        <v>15</v>
      </c>
      <c r="C34" s="21"/>
      <c r="D34" s="21">
        <v>0</v>
      </c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1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1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25"/>
      <c r="B38" s="29" t="s">
        <v>36</v>
      </c>
      <c r="C38" s="21">
        <f>SUM(C39:C42)</f>
        <v>5199990.0299999993</v>
      </c>
      <c r="D38" s="21">
        <f>SUM(D39:D42)</f>
        <v>4257469.68</v>
      </c>
      <c r="E38" s="21">
        <f>SUM(E39:E42)</f>
        <v>0</v>
      </c>
      <c r="F38" s="21">
        <f>SUM(F39:F42)</f>
        <v>4257469.68</v>
      </c>
      <c r="G38" s="21">
        <f>SUM(G39:G42)</f>
        <v>5200750</v>
      </c>
      <c r="H38" s="21">
        <f t="shared" ref="H38:H59" si="29">F38-G38</f>
        <v>-943280.3200000003</v>
      </c>
      <c r="I38" s="21">
        <f>SUM(I39:I42)</f>
        <v>4479736</v>
      </c>
      <c r="J38" s="44">
        <f t="shared" ref="J38:J42" si="30">(I38-F38)/F38</f>
        <v>5.2206201501357567E-2</v>
      </c>
      <c r="K38" s="44">
        <f t="shared" ref="K38:K42" si="31">(I38-G38)/G38</f>
        <v>-0.13863654280632601</v>
      </c>
    </row>
    <row r="39" spans="1:11" x14ac:dyDescent="0.2">
      <c r="A39" s="22" t="s">
        <v>54</v>
      </c>
      <c r="B39" s="23" t="s">
        <v>17</v>
      </c>
      <c r="C39" s="21">
        <v>4326442.33</v>
      </c>
      <c r="D39" s="21">
        <v>3493312.68</v>
      </c>
      <c r="E39" s="21"/>
      <c r="F39" s="21">
        <f>D39+E39</f>
        <v>3493312.68</v>
      </c>
      <c r="G39" s="21">
        <v>4304374</v>
      </c>
      <c r="H39" s="21">
        <f t="shared" si="29"/>
        <v>-811061.31999999983</v>
      </c>
      <c r="I39" s="21">
        <f>3680407</f>
        <v>3680407</v>
      </c>
      <c r="J39" s="44">
        <f t="shared" si="30"/>
        <v>5.3557850996607557E-2</v>
      </c>
      <c r="K39" s="44">
        <f t="shared" si="31"/>
        <v>-0.14496114882210515</v>
      </c>
    </row>
    <row r="40" spans="1:11" x14ac:dyDescent="0.2">
      <c r="A40" s="22" t="s">
        <v>55</v>
      </c>
      <c r="B40" s="23" t="s">
        <v>18</v>
      </c>
      <c r="C40" s="21">
        <v>701789.42</v>
      </c>
      <c r="D40" s="21">
        <v>572630.28</v>
      </c>
      <c r="E40" s="21"/>
      <c r="F40" s="21">
        <f>D40+E40</f>
        <v>572630.28</v>
      </c>
      <c r="G40" s="21">
        <v>723775</v>
      </c>
      <c r="H40" s="21">
        <f t="shared" si="29"/>
        <v>-151144.71999999997</v>
      </c>
      <c r="I40" s="21">
        <f>609698</f>
        <v>609698</v>
      </c>
      <c r="J40" s="44">
        <f t="shared" si="30"/>
        <v>6.4732378455431963E-2</v>
      </c>
      <c r="K40" s="44">
        <f t="shared" si="31"/>
        <v>-0.15761389934717282</v>
      </c>
    </row>
    <row r="41" spans="1:11" x14ac:dyDescent="0.2">
      <c r="A41" s="22" t="s">
        <v>56</v>
      </c>
      <c r="B41" s="23" t="s">
        <v>19</v>
      </c>
      <c r="C41" s="21">
        <v>251286.85</v>
      </c>
      <c r="D41" s="21">
        <v>210996.72</v>
      </c>
      <c r="E41" s="21"/>
      <c r="F41" s="21">
        <f>D41+E41</f>
        <v>210996.72</v>
      </c>
      <c r="G41" s="21">
        <v>247301</v>
      </c>
      <c r="H41" s="21">
        <f t="shared" si="29"/>
        <v>-36304.28</v>
      </c>
      <c r="I41" s="21">
        <f>211931</f>
        <v>211931</v>
      </c>
      <c r="J41" s="44">
        <f t="shared" si="30"/>
        <v>4.4279361309502762E-3</v>
      </c>
      <c r="K41" s="44">
        <f t="shared" si="31"/>
        <v>-0.14302408805463787</v>
      </c>
    </row>
    <row r="42" spans="1:11" x14ac:dyDescent="0.2">
      <c r="A42" s="22" t="s">
        <v>57</v>
      </c>
      <c r="B42" s="23" t="s">
        <v>20</v>
      </c>
      <c r="C42" s="21">
        <v>-79528.570000000007</v>
      </c>
      <c r="D42" s="21">
        <v>-19470</v>
      </c>
      <c r="E42" s="21"/>
      <c r="F42" s="21">
        <f>D42+E42</f>
        <v>-19470</v>
      </c>
      <c r="G42" s="21">
        <v>-74700</v>
      </c>
      <c r="H42" s="21">
        <f t="shared" si="29"/>
        <v>55230</v>
      </c>
      <c r="I42" s="21">
        <v>-22300</v>
      </c>
      <c r="J42" s="44">
        <f t="shared" si="30"/>
        <v>0.14535182331792501</v>
      </c>
      <c r="K42" s="44">
        <f t="shared" si="31"/>
        <v>-0.70147255689424359</v>
      </c>
    </row>
    <row r="43" spans="1:11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A44" s="25"/>
      <c r="B44" s="29" t="s">
        <v>37</v>
      </c>
      <c r="C44" s="21">
        <f t="shared" ref="C44" si="32">SUM(C45:C46)</f>
        <v>3310392.74</v>
      </c>
      <c r="D44" s="21">
        <f t="shared" ref="D44:G44" si="33">SUM(D45:D46)</f>
        <v>2989057.56</v>
      </c>
      <c r="E44" s="21">
        <f t="shared" si="33"/>
        <v>41499.96</v>
      </c>
      <c r="F44" s="21">
        <f t="shared" si="33"/>
        <v>3030557.52</v>
      </c>
      <c r="G44" s="21">
        <f t="shared" si="33"/>
        <v>3199375</v>
      </c>
      <c r="H44" s="21">
        <f t="shared" si="29"/>
        <v>-168817.47999999998</v>
      </c>
      <c r="I44" s="21">
        <f t="shared" ref="I44" si="34">SUM(I45:I46)</f>
        <v>2876683</v>
      </c>
      <c r="J44" s="44">
        <f t="shared" ref="J44:J46" si="35">(I44-F44)/F44</f>
        <v>-5.0774327490738409E-2</v>
      </c>
      <c r="K44" s="44">
        <f t="shared" ref="K44:K46" si="36">(I44-G44)/G44</f>
        <v>-0.1008609494041805</v>
      </c>
    </row>
    <row r="45" spans="1:11" x14ac:dyDescent="0.2">
      <c r="A45" s="22" t="s">
        <v>58</v>
      </c>
      <c r="B45" s="23" t="s">
        <v>21</v>
      </c>
      <c r="C45" s="21"/>
      <c r="D45" s="21"/>
      <c r="E45" s="21"/>
      <c r="F45" s="21">
        <f>D45+E45</f>
        <v>0</v>
      </c>
      <c r="G45" s="21"/>
      <c r="H45" s="21">
        <f t="shared" si="29"/>
        <v>0</v>
      </c>
      <c r="I45" s="21"/>
      <c r="J45" s="44">
        <v>0</v>
      </c>
      <c r="K45" s="44">
        <v>0</v>
      </c>
    </row>
    <row r="46" spans="1:11" x14ac:dyDescent="0.2">
      <c r="A46" s="22" t="s">
        <v>59</v>
      </c>
      <c r="B46" s="23" t="s">
        <v>22</v>
      </c>
      <c r="C46" s="21">
        <v>3310392.74</v>
      </c>
      <c r="D46" s="21">
        <v>2989057.56</v>
      </c>
      <c r="E46" s="21">
        <v>41499.96</v>
      </c>
      <c r="F46" s="21">
        <f>D46+E46</f>
        <v>3030557.52</v>
      </c>
      <c r="G46" s="21">
        <v>3199375</v>
      </c>
      <c r="H46" s="21">
        <f t="shared" si="29"/>
        <v>-168817.47999999998</v>
      </c>
      <c r="I46" s="21">
        <v>2876683</v>
      </c>
      <c r="J46" s="44">
        <f t="shared" si="35"/>
        <v>-5.0774327490738409E-2</v>
      </c>
      <c r="K46" s="44">
        <f t="shared" si="36"/>
        <v>-0.1008609494041805</v>
      </c>
    </row>
    <row r="47" spans="1:11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2">
      <c r="A48" s="25"/>
      <c r="B48" s="29" t="s">
        <v>38</v>
      </c>
      <c r="C48" s="21">
        <f t="shared" ref="C48" si="37">SUM(C49:C50)</f>
        <v>384598.5</v>
      </c>
      <c r="D48" s="21">
        <f t="shared" ref="D48:G48" si="38">SUM(D49:D50)</f>
        <v>195328.56</v>
      </c>
      <c r="E48" s="21">
        <f t="shared" si="38"/>
        <v>-4242</v>
      </c>
      <c r="F48" s="21">
        <f t="shared" si="38"/>
        <v>191086.56</v>
      </c>
      <c r="G48" s="21">
        <f t="shared" si="38"/>
        <v>330208</v>
      </c>
      <c r="H48" s="21">
        <f t="shared" ref="H48" si="39">SUM(H49:H50)</f>
        <v>-139121.44</v>
      </c>
      <c r="I48" s="21">
        <f t="shared" ref="I48" si="40">SUM(I49:I50)</f>
        <v>176529</v>
      </c>
      <c r="J48" s="44">
        <f t="shared" ref="J48:J49" si="41">(I48-F48)/F48</f>
        <v>-7.6183065936191424E-2</v>
      </c>
      <c r="K48" s="44">
        <f t="shared" ref="K48:K49" si="42">(I48-G48)/G48</f>
        <v>-0.46540059598798333</v>
      </c>
    </row>
    <row r="49" spans="1:13" x14ac:dyDescent="0.2">
      <c r="A49" s="22" t="s">
        <v>60</v>
      </c>
      <c r="B49" s="23" t="s">
        <v>23</v>
      </c>
      <c r="C49" s="21">
        <v>384658.81</v>
      </c>
      <c r="D49" s="21">
        <v>195328.56</v>
      </c>
      <c r="E49" s="21">
        <v>-4242</v>
      </c>
      <c r="F49" s="21">
        <f>D49+E49</f>
        <v>191086.56</v>
      </c>
      <c r="G49" s="21">
        <v>330208</v>
      </c>
      <c r="H49" s="21">
        <f t="shared" si="29"/>
        <v>-139121.44</v>
      </c>
      <c r="I49" s="21">
        <v>176529</v>
      </c>
      <c r="J49" s="44">
        <f t="shared" si="41"/>
        <v>-7.6183065936191424E-2</v>
      </c>
      <c r="K49" s="44">
        <f t="shared" si="42"/>
        <v>-0.46540059598798333</v>
      </c>
    </row>
    <row r="50" spans="1:13" x14ac:dyDescent="0.2">
      <c r="A50" s="22" t="s">
        <v>61</v>
      </c>
      <c r="B50" s="23" t="s">
        <v>24</v>
      </c>
      <c r="C50" s="21">
        <v>-60.31</v>
      </c>
      <c r="D50" s="21"/>
      <c r="E50" s="21"/>
      <c r="F50" s="21">
        <f>D50+E50</f>
        <v>0</v>
      </c>
      <c r="G50" s="21"/>
      <c r="H50" s="21">
        <f t="shared" si="29"/>
        <v>0</v>
      </c>
      <c r="I50" s="21"/>
      <c r="J50" s="44">
        <v>0</v>
      </c>
      <c r="K50" s="44">
        <v>0</v>
      </c>
    </row>
    <row r="51" spans="1:13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3" x14ac:dyDescent="0.2">
      <c r="A52" s="25"/>
      <c r="B52" s="29" t="s">
        <v>25</v>
      </c>
      <c r="C52" s="21">
        <f t="shared" ref="C52" si="43">SUM(C53:C55)</f>
        <v>32391</v>
      </c>
      <c r="D52" s="21">
        <f t="shared" ref="D52:G52" si="44">SUM(D53:D55)</f>
        <v>24500.04</v>
      </c>
      <c r="E52" s="21">
        <f t="shared" si="44"/>
        <v>0</v>
      </c>
      <c r="F52" s="21">
        <f t="shared" si="44"/>
        <v>24500.04</v>
      </c>
      <c r="G52" s="21">
        <f t="shared" si="44"/>
        <v>31200</v>
      </c>
      <c r="H52" s="21">
        <f t="shared" ref="H52" si="45">SUM(H53:H55)</f>
        <v>-6699.9599999999991</v>
      </c>
      <c r="I52" s="21">
        <f t="shared" ref="I52" si="46">SUM(I53:I55)</f>
        <v>25100</v>
      </c>
      <c r="J52" s="44">
        <f t="shared" ref="J52:J53" si="47">(I52-F52)/F52</f>
        <v>2.4488123284696642E-2</v>
      </c>
      <c r="K52" s="44">
        <f t="shared" ref="K52:K53" si="48">(I52-G52)/G52</f>
        <v>-0.19551282051282051</v>
      </c>
    </row>
    <row r="53" spans="1:13" x14ac:dyDescent="0.2">
      <c r="A53" s="22" t="s">
        <v>62</v>
      </c>
      <c r="B53" s="23" t="s">
        <v>26</v>
      </c>
      <c r="C53" s="21">
        <v>32391</v>
      </c>
      <c r="D53" s="21">
        <v>24500.04</v>
      </c>
      <c r="E53" s="21"/>
      <c r="F53" s="21">
        <f>D53+E53</f>
        <v>24500.04</v>
      </c>
      <c r="G53" s="21">
        <v>31200</v>
      </c>
      <c r="H53" s="21">
        <f t="shared" si="29"/>
        <v>-6699.9599999999991</v>
      </c>
      <c r="I53" s="21">
        <v>25100</v>
      </c>
      <c r="J53" s="44">
        <f t="shared" si="47"/>
        <v>2.4488123284696642E-2</v>
      </c>
      <c r="K53" s="44">
        <f t="shared" si="48"/>
        <v>-0.19551282051282051</v>
      </c>
    </row>
    <row r="54" spans="1:13" x14ac:dyDescent="0.2">
      <c r="A54" s="22" t="s">
        <v>63</v>
      </c>
      <c r="B54" s="23" t="s">
        <v>27</v>
      </c>
      <c r="C54" s="21"/>
      <c r="D54" s="21"/>
      <c r="E54" s="21"/>
      <c r="F54" s="21">
        <f>D54+E54</f>
        <v>0</v>
      </c>
      <c r="G54" s="21"/>
      <c r="H54" s="21">
        <f t="shared" si="29"/>
        <v>0</v>
      </c>
      <c r="I54" s="21"/>
      <c r="J54" s="44">
        <v>0</v>
      </c>
      <c r="K54" s="44">
        <v>0</v>
      </c>
    </row>
    <row r="55" spans="1:13" x14ac:dyDescent="0.2">
      <c r="A55" s="22" t="s">
        <v>64</v>
      </c>
      <c r="B55" s="23" t="s">
        <v>28</v>
      </c>
      <c r="C55" s="21"/>
      <c r="D55" s="21"/>
      <c r="E55" s="21"/>
      <c r="F55" s="21">
        <f>D55+E55</f>
        <v>0</v>
      </c>
      <c r="G55" s="21"/>
      <c r="H55" s="21">
        <f t="shared" si="29"/>
        <v>0</v>
      </c>
      <c r="I55" s="21"/>
      <c r="J55" s="44">
        <v>0</v>
      </c>
      <c r="K55" s="44">
        <v>0</v>
      </c>
    </row>
    <row r="56" spans="1:13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3" x14ac:dyDescent="0.2">
      <c r="A57" s="25"/>
      <c r="B57" s="29" t="s">
        <v>29</v>
      </c>
      <c r="C57" s="21">
        <f t="shared" ref="C57" si="49">SUM(C58:C59)</f>
        <v>757143.30999999994</v>
      </c>
      <c r="D57" s="21">
        <f t="shared" ref="D57:G57" si="50">SUM(D58:D59)</f>
        <v>1045301.6399999999</v>
      </c>
      <c r="E57" s="21">
        <f t="shared" si="50"/>
        <v>0</v>
      </c>
      <c r="F57" s="21">
        <f t="shared" si="50"/>
        <v>1045301.6399999999</v>
      </c>
      <c r="G57" s="21">
        <f t="shared" si="50"/>
        <v>739902</v>
      </c>
      <c r="H57" s="21">
        <f t="shared" ref="H57" si="51">SUM(H58:H59)</f>
        <v>305399.63999999996</v>
      </c>
      <c r="I57" s="21">
        <f t="shared" ref="I57" si="52">SUM(I58:I59)</f>
        <v>703652</v>
      </c>
      <c r="J57" s="44">
        <f t="shared" ref="J57:J59" si="53">(I57-F57)/F57</f>
        <v>-0.32684311104687441</v>
      </c>
      <c r="K57" s="44">
        <f t="shared" ref="K57:K59" si="54">(I57-G57)/G57</f>
        <v>-4.8992974745304105E-2</v>
      </c>
    </row>
    <row r="58" spans="1:13" x14ac:dyDescent="0.2">
      <c r="A58" s="22" t="s">
        <v>65</v>
      </c>
      <c r="B58" s="23" t="s">
        <v>30</v>
      </c>
      <c r="C58" s="21">
        <v>646852.18999999994</v>
      </c>
      <c r="D58" s="21">
        <v>668485.07999999996</v>
      </c>
      <c r="E58" s="21"/>
      <c r="F58" s="21">
        <f>D58+E58</f>
        <v>668485.07999999996</v>
      </c>
      <c r="G58" s="21">
        <v>627532</v>
      </c>
      <c r="H58" s="21">
        <f t="shared" si="29"/>
        <v>40953.079999999958</v>
      </c>
      <c r="I58" s="21">
        <v>522482</v>
      </c>
      <c r="J58" s="44">
        <f t="shared" si="53"/>
        <v>-0.21840888356102123</v>
      </c>
      <c r="K58" s="44">
        <f t="shared" si="54"/>
        <v>-0.16740182173976786</v>
      </c>
    </row>
    <row r="59" spans="1:13" x14ac:dyDescent="0.2">
      <c r="A59" s="22" t="s">
        <v>66</v>
      </c>
      <c r="B59" s="23" t="s">
        <v>31</v>
      </c>
      <c r="C59" s="21">
        <v>110291.12</v>
      </c>
      <c r="D59" s="21">
        <v>376816.56</v>
      </c>
      <c r="E59" s="21"/>
      <c r="F59" s="21">
        <f>D59+E59</f>
        <v>376816.56</v>
      </c>
      <c r="G59" s="21">
        <v>112370</v>
      </c>
      <c r="H59" s="21">
        <f t="shared" si="29"/>
        <v>264446.56</v>
      </c>
      <c r="I59" s="21">
        <v>181170</v>
      </c>
      <c r="J59" s="44">
        <f t="shared" si="53"/>
        <v>-0.51920902839301963</v>
      </c>
      <c r="K59" s="44">
        <f t="shared" si="54"/>
        <v>0.61226305953546323</v>
      </c>
    </row>
    <row r="60" spans="1:13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3" ht="15" x14ac:dyDescent="0.25">
      <c r="A61" s="33"/>
      <c r="B61" s="27" t="s">
        <v>32</v>
      </c>
      <c r="C61" s="28">
        <f t="shared" ref="C61" si="55">C57+C52+C48+C44+C38</f>
        <v>9684515.5800000001</v>
      </c>
      <c r="D61" s="28">
        <f>D57+D52+D48+D44+D38</f>
        <v>8511657.4800000004</v>
      </c>
      <c r="E61" s="28">
        <f t="shared" ref="E61:G61" si="56">E57+E52+E48+E44+E38</f>
        <v>37257.96</v>
      </c>
      <c r="F61" s="28">
        <f t="shared" si="56"/>
        <v>8548915.4399999995</v>
      </c>
      <c r="G61" s="28">
        <f t="shared" si="56"/>
        <v>9501435</v>
      </c>
      <c r="H61" s="28">
        <f t="shared" ref="H61" si="57">F61-G61</f>
        <v>-952519.56000000052</v>
      </c>
      <c r="I61" s="28">
        <f t="shared" ref="I61" si="58">I57+I52+I48+I44+I38</f>
        <v>8261700</v>
      </c>
      <c r="J61" s="45">
        <f t="shared" ref="J61" si="59">(I61-F61)/F61</f>
        <v>-3.3596710836105721E-2</v>
      </c>
      <c r="K61" s="45">
        <f t="shared" ref="K61" si="60">(I61-G61)/G61</f>
        <v>-0.13047871189983407</v>
      </c>
    </row>
    <row r="62" spans="1:13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3" ht="15" x14ac:dyDescent="0.25">
      <c r="A63" s="33"/>
      <c r="B63" s="27" t="s">
        <v>33</v>
      </c>
      <c r="C63" s="28">
        <f t="shared" ref="C63" si="61">C31+C33-C61</f>
        <v>-6613152.9800000004</v>
      </c>
      <c r="D63" s="28">
        <f>D31-D61</f>
        <v>-6850666.6800000006</v>
      </c>
      <c r="E63" s="28">
        <f t="shared" ref="E63:H63" si="62">E31-E61</f>
        <v>-37257.96</v>
      </c>
      <c r="F63" s="28">
        <f t="shared" si="62"/>
        <v>-6887924.6399999997</v>
      </c>
      <c r="G63" s="28">
        <f t="shared" si="62"/>
        <v>-6630412</v>
      </c>
      <c r="H63" s="28">
        <f t="shared" si="62"/>
        <v>-257512.63999999966</v>
      </c>
      <c r="I63" s="28">
        <f t="shared" ref="I63" si="63">I31+I33-I61</f>
        <v>-6285595</v>
      </c>
      <c r="J63" s="45">
        <f>(I63-F63)/F63</f>
        <v>-8.7447187865864875E-2</v>
      </c>
      <c r="K63" s="45">
        <f>(I63-G63)/G63</f>
        <v>-5.2005365579092216E-2</v>
      </c>
      <c r="M63" s="41"/>
    </row>
    <row r="64" spans="1:13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46"/>
      <c r="J64" s="24"/>
      <c r="K64" s="24"/>
    </row>
    <row r="66" spans="10:13" x14ac:dyDescent="0.2">
      <c r="J66" s="41"/>
      <c r="K66" s="41"/>
      <c r="M66" s="41"/>
    </row>
  </sheetData>
  <phoneticPr fontId="7" type="noConversion"/>
  <pageMargins left="0.78740157480314965" right="0.78740157480314965" top="0.78740157480314965" bottom="0.78740157480314965" header="0.51181102362204722" footer="0.51181102362204722"/>
  <pageSetup paperSize="9" scale="52" orientation="portrait" r:id="rId1"/>
  <headerFooter alignWithMargins="0"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pageSetUpPr fitToPage="1"/>
  </sheetPr>
  <dimension ref="A1:K66"/>
  <sheetViews>
    <sheetView zoomScale="80" zoomScaleNormal="80" workbookViewId="0">
      <pane xSplit="2" ySplit="5" topLeftCell="C6" activePane="bottomRight" state="frozen"/>
      <selection activeCell="H13" sqref="H13"/>
      <selection pane="topRight" activeCell="H13" sqref="H13"/>
      <selection pane="bottomLeft" activeCell="H13" sqref="H13"/>
      <selection pane="bottomRight" activeCell="I18" sqref="I18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1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1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1" x14ac:dyDescent="0.2">
      <c r="A4" s="12"/>
      <c r="B4" s="6" t="s">
        <v>99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1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1" x14ac:dyDescent="0.2">
      <c r="A8" s="20"/>
      <c r="B8" s="3" t="s">
        <v>35</v>
      </c>
      <c r="C8" s="21">
        <f t="shared" ref="C8" si="0">SUM(C9:C12)</f>
        <v>200428.57</v>
      </c>
      <c r="D8" s="21">
        <f t="shared" ref="D8:G8" si="1">SUM(D9:D12)</f>
        <v>289995.36</v>
      </c>
      <c r="E8" s="21">
        <f t="shared" si="1"/>
        <v>0</v>
      </c>
      <c r="F8" s="21">
        <f t="shared" si="1"/>
        <v>289995.36</v>
      </c>
      <c r="G8" s="21">
        <f t="shared" si="1"/>
        <v>212000</v>
      </c>
      <c r="H8" s="21">
        <f>F8-G8</f>
        <v>77995.359999999986</v>
      </c>
      <c r="I8" s="21">
        <f t="shared" ref="I8" si="2">SUM(I9:I12)</f>
        <v>211000</v>
      </c>
      <c r="J8" s="44">
        <f>(I8-F8)/F8</f>
        <v>-0.27240215153787284</v>
      </c>
      <c r="K8" s="44">
        <f>(I8-G8)/G8</f>
        <v>-4.7169811320754715E-3</v>
      </c>
    </row>
    <row r="9" spans="1:11" x14ac:dyDescent="0.2">
      <c r="A9" s="22" t="s">
        <v>39</v>
      </c>
      <c r="B9" s="23" t="s">
        <v>1</v>
      </c>
      <c r="C9" s="21">
        <v>5952.57</v>
      </c>
      <c r="D9" s="21">
        <v>9995.52</v>
      </c>
      <c r="E9" s="21"/>
      <c r="F9" s="21">
        <f>D9+E9</f>
        <v>9995.52</v>
      </c>
      <c r="G9" s="21">
        <v>7000</v>
      </c>
      <c r="H9" s="21">
        <f t="shared" ref="H9:H29" si="3">F9-G9</f>
        <v>2995.5200000000004</v>
      </c>
      <c r="I9" s="21">
        <v>6000</v>
      </c>
      <c r="J9" s="44">
        <f t="shared" ref="J9:J18" si="4">(I9-F9)/F9</f>
        <v>-0.39973107952362663</v>
      </c>
      <c r="K9" s="44">
        <f t="shared" ref="K9:K29" si="5">(I9-G9)/G9</f>
        <v>-0.14285714285714285</v>
      </c>
    </row>
    <row r="10" spans="1:11" x14ac:dyDescent="0.2">
      <c r="A10" s="22" t="s">
        <v>40</v>
      </c>
      <c r="B10" s="23" t="s">
        <v>41</v>
      </c>
      <c r="C10" s="21">
        <v>40730</v>
      </c>
      <c r="D10" s="21">
        <v>60000</v>
      </c>
      <c r="E10" s="21"/>
      <c r="F10" s="21">
        <f>D10+E10</f>
        <v>60000</v>
      </c>
      <c r="G10" s="21">
        <v>50000</v>
      </c>
      <c r="H10" s="21">
        <f t="shared" si="3"/>
        <v>10000</v>
      </c>
      <c r="I10" s="21">
        <v>55000</v>
      </c>
      <c r="J10" s="44">
        <f t="shared" si="4"/>
        <v>-8.3333333333333329E-2</v>
      </c>
      <c r="K10" s="44">
        <f t="shared" si="5"/>
        <v>0.1</v>
      </c>
    </row>
    <row r="11" spans="1:11" x14ac:dyDescent="0.2">
      <c r="A11" s="22" t="s">
        <v>42</v>
      </c>
      <c r="B11" s="23" t="s">
        <v>2</v>
      </c>
      <c r="C11" s="21"/>
      <c r="D11" s="21">
        <v>0</v>
      </c>
      <c r="E11" s="21"/>
      <c r="F11" s="21">
        <f>D11+E11</f>
        <v>0</v>
      </c>
      <c r="G11" s="21"/>
      <c r="H11" s="21">
        <f t="shared" si="3"/>
        <v>0</v>
      </c>
      <c r="I11" s="21"/>
      <c r="J11" s="44">
        <v>0</v>
      </c>
      <c r="K11" s="44">
        <v>0</v>
      </c>
    </row>
    <row r="12" spans="1:11" x14ac:dyDescent="0.2">
      <c r="A12" s="22" t="s">
        <v>43</v>
      </c>
      <c r="B12" s="23" t="s">
        <v>3</v>
      </c>
      <c r="C12" s="21">
        <v>153746</v>
      </c>
      <c r="D12" s="21">
        <v>219999.84</v>
      </c>
      <c r="E12" s="21"/>
      <c r="F12" s="21">
        <f>D12+E12</f>
        <v>219999.84</v>
      </c>
      <c r="G12" s="21">
        <v>155000</v>
      </c>
      <c r="H12" s="21">
        <f t="shared" si="3"/>
        <v>64999.839999999997</v>
      </c>
      <c r="I12" s="21">
        <v>150000</v>
      </c>
      <c r="J12" s="44">
        <f t="shared" si="4"/>
        <v>-0.31818132231368895</v>
      </c>
      <c r="K12" s="44">
        <f t="shared" si="5"/>
        <v>-3.2258064516129031E-2</v>
      </c>
    </row>
    <row r="13" spans="1:11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">
      <c r="A14" s="25"/>
      <c r="B14" s="3" t="s">
        <v>4</v>
      </c>
      <c r="C14" s="21">
        <f t="shared" ref="C14" si="6">SUM(C15:C20)</f>
        <v>7075877.8300000001</v>
      </c>
      <c r="D14" s="21">
        <f t="shared" ref="D14:G14" si="7">SUM(D15:D20)</f>
        <v>7262974.6799999997</v>
      </c>
      <c r="E14" s="21">
        <f t="shared" si="7"/>
        <v>0</v>
      </c>
      <c r="F14" s="21">
        <f t="shared" si="7"/>
        <v>7262974.6799999997</v>
      </c>
      <c r="G14" s="21">
        <f t="shared" si="7"/>
        <v>7262975</v>
      </c>
      <c r="H14" s="21">
        <f t="shared" ref="H14" si="8">SUM(H15:H20)</f>
        <v>-0.32000000026164344</v>
      </c>
      <c r="I14" s="21">
        <f t="shared" ref="I14" si="9">SUM(I15:I20)</f>
        <v>6981575</v>
      </c>
      <c r="J14" s="44">
        <f t="shared" si="4"/>
        <v>-3.8744411539102283E-2</v>
      </c>
      <c r="K14" s="44">
        <f t="shared" si="5"/>
        <v>-3.8744453891139653E-2</v>
      </c>
    </row>
    <row r="15" spans="1:11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10">D15+E15</f>
        <v>0</v>
      </c>
      <c r="G15" s="21"/>
      <c r="H15" s="21">
        <f t="shared" si="3"/>
        <v>0</v>
      </c>
      <c r="I15" s="21"/>
      <c r="J15" s="44">
        <v>0</v>
      </c>
      <c r="K15" s="44">
        <v>0</v>
      </c>
    </row>
    <row r="16" spans="1:11" x14ac:dyDescent="0.2">
      <c r="A16" s="22" t="s">
        <v>45</v>
      </c>
      <c r="B16" s="23" t="s">
        <v>6</v>
      </c>
      <c r="C16" s="21"/>
      <c r="D16" s="21"/>
      <c r="E16" s="21"/>
      <c r="F16" s="21">
        <f t="shared" si="10"/>
        <v>0</v>
      </c>
      <c r="G16" s="21"/>
      <c r="H16" s="21">
        <f t="shared" si="3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>
        <v>7056057.1299999999</v>
      </c>
      <c r="D17" s="21">
        <v>7251474.7199999997</v>
      </c>
      <c r="E17" s="21"/>
      <c r="F17" s="21">
        <f t="shared" si="10"/>
        <v>7251474.7199999997</v>
      </c>
      <c r="G17" s="21">
        <v>7251475</v>
      </c>
      <c r="H17" s="21">
        <f t="shared" si="3"/>
        <v>-0.28000000026077032</v>
      </c>
      <c r="I17" s="21">
        <v>6970075</v>
      </c>
      <c r="J17" s="44">
        <f t="shared" si="4"/>
        <v>-3.8805860995954733E-2</v>
      </c>
      <c r="K17" s="44">
        <f t="shared" si="5"/>
        <v>-3.8805898110384436E-2</v>
      </c>
    </row>
    <row r="18" spans="1:11" x14ac:dyDescent="0.2">
      <c r="A18" s="22" t="s">
        <v>47</v>
      </c>
      <c r="B18" s="23" t="s">
        <v>8</v>
      </c>
      <c r="C18" s="21">
        <v>19820.7</v>
      </c>
      <c r="D18" s="21">
        <v>11499.96</v>
      </c>
      <c r="E18" s="21"/>
      <c r="F18" s="21">
        <f t="shared" si="10"/>
        <v>11499.96</v>
      </c>
      <c r="G18" s="21">
        <v>11500</v>
      </c>
      <c r="H18" s="21">
        <f t="shared" si="3"/>
        <v>-4.0000000000873115E-2</v>
      </c>
      <c r="I18" s="21">
        <v>11500</v>
      </c>
      <c r="J18" s="44">
        <f t="shared" si="4"/>
        <v>3.4782729679818989E-6</v>
      </c>
      <c r="K18" s="44">
        <f t="shared" si="5"/>
        <v>0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10"/>
        <v>0</v>
      </c>
      <c r="G19" s="21"/>
      <c r="H19" s="21">
        <f t="shared" si="3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/>
      <c r="D20" s="21"/>
      <c r="E20" s="21"/>
      <c r="F20" s="21">
        <f t="shared" si="10"/>
        <v>0</v>
      </c>
      <c r="G20" s="21"/>
      <c r="H20" s="21">
        <f t="shared" si="3"/>
        <v>0</v>
      </c>
      <c r="I20" s="21"/>
      <c r="J20" s="44">
        <v>0</v>
      </c>
      <c r="K20" s="44">
        <v>0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" si="11">SUM(C23)</f>
        <v>8306.9500000000007</v>
      </c>
      <c r="D22" s="21">
        <f t="shared" ref="D22:H22" si="12">SUM(D23)</f>
        <v>0</v>
      </c>
      <c r="E22" s="21">
        <f t="shared" si="12"/>
        <v>0</v>
      </c>
      <c r="F22" s="21">
        <f t="shared" si="12"/>
        <v>0</v>
      </c>
      <c r="G22" s="21">
        <f t="shared" si="12"/>
        <v>0</v>
      </c>
      <c r="H22" s="21">
        <f t="shared" si="12"/>
        <v>0</v>
      </c>
      <c r="I22" s="21">
        <f t="shared" ref="I22" si="13">SUM(I23)</f>
        <v>0</v>
      </c>
      <c r="J22" s="44">
        <v>0</v>
      </c>
      <c r="K22" s="44">
        <v>0</v>
      </c>
    </row>
    <row r="23" spans="1:11" x14ac:dyDescent="0.2">
      <c r="A23" s="22" t="s">
        <v>50</v>
      </c>
      <c r="B23" s="23" t="s">
        <v>11</v>
      </c>
      <c r="C23" s="21">
        <v>8306.9500000000007</v>
      </c>
      <c r="D23" s="21"/>
      <c r="E23" s="21"/>
      <c r="F23" s="21">
        <f>D23+E23</f>
        <v>0</v>
      </c>
      <c r="G23" s="21"/>
      <c r="H23" s="21">
        <f t="shared" si="3"/>
        <v>0</v>
      </c>
      <c r="I23" s="21"/>
      <c r="J23" s="44">
        <v>0</v>
      </c>
      <c r="K23" s="44">
        <v>0</v>
      </c>
    </row>
    <row r="24" spans="1:1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">
      <c r="A25" s="25"/>
      <c r="B25" s="3" t="s">
        <v>12</v>
      </c>
      <c r="C25" s="21">
        <f t="shared" ref="C25" si="14">SUM(C26)</f>
        <v>159776.03</v>
      </c>
      <c r="D25" s="21">
        <f t="shared" ref="D25:H25" si="15">SUM(D26)</f>
        <v>0</v>
      </c>
      <c r="E25" s="21">
        <f t="shared" si="15"/>
        <v>0</v>
      </c>
      <c r="F25" s="21">
        <f t="shared" si="15"/>
        <v>0</v>
      </c>
      <c r="G25" s="21">
        <f t="shared" si="15"/>
        <v>33461.68</v>
      </c>
      <c r="H25" s="21">
        <f t="shared" si="15"/>
        <v>-33461.68</v>
      </c>
      <c r="I25" s="21">
        <f t="shared" ref="I25" si="16">SUM(I26)</f>
        <v>0</v>
      </c>
      <c r="J25" s="44">
        <v>0</v>
      </c>
      <c r="K25" s="44">
        <f t="shared" si="5"/>
        <v>-1</v>
      </c>
    </row>
    <row r="26" spans="1:11" x14ac:dyDescent="0.2">
      <c r="A26" s="22" t="s">
        <v>51</v>
      </c>
      <c r="B26" s="23" t="s">
        <v>12</v>
      </c>
      <c r="C26" s="21">
        <v>159776.03</v>
      </c>
      <c r="D26" s="21"/>
      <c r="E26" s="21"/>
      <c r="F26" s="21">
        <f>D26+E26</f>
        <v>0</v>
      </c>
      <c r="G26" s="21">
        <v>33461.68</v>
      </c>
      <c r="H26" s="21">
        <f t="shared" si="3"/>
        <v>-33461.68</v>
      </c>
      <c r="I26" s="21"/>
      <c r="J26" s="44">
        <v>0</v>
      </c>
      <c r="K26" s="44">
        <f t="shared" si="5"/>
        <v>-1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" si="17">SUM(C29)</f>
        <v>2246.5100000000002</v>
      </c>
      <c r="D28" s="21">
        <f t="shared" ref="D28:H28" si="18">SUM(D29)</f>
        <v>0</v>
      </c>
      <c r="E28" s="21">
        <f t="shared" si="18"/>
        <v>0</v>
      </c>
      <c r="F28" s="21">
        <f t="shared" si="18"/>
        <v>0</v>
      </c>
      <c r="G28" s="21">
        <f t="shared" si="18"/>
        <v>3620</v>
      </c>
      <c r="H28" s="21">
        <f t="shared" si="18"/>
        <v>-3620</v>
      </c>
      <c r="I28" s="21">
        <f t="shared" ref="I28" si="19">SUM(I29)</f>
        <v>0</v>
      </c>
      <c r="J28" s="44">
        <v>0</v>
      </c>
      <c r="K28" s="44">
        <f t="shared" si="5"/>
        <v>-1</v>
      </c>
    </row>
    <row r="29" spans="1:11" x14ac:dyDescent="0.2">
      <c r="A29" s="22" t="s">
        <v>52</v>
      </c>
      <c r="B29" s="23" t="s">
        <v>13</v>
      </c>
      <c r="C29" s="21">
        <v>2246.5100000000002</v>
      </c>
      <c r="D29" s="21"/>
      <c r="E29" s="21"/>
      <c r="F29" s="21">
        <f>D29+E29</f>
        <v>0</v>
      </c>
      <c r="G29" s="21">
        <v>3620</v>
      </c>
      <c r="H29" s="21">
        <f t="shared" si="3"/>
        <v>-3620</v>
      </c>
      <c r="I29" s="21"/>
      <c r="J29" s="44">
        <v>0</v>
      </c>
      <c r="K29" s="44">
        <f t="shared" si="5"/>
        <v>-1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" si="20">C28+C25+C22+C14+C8</f>
        <v>7446635.8900000006</v>
      </c>
      <c r="D31" s="28">
        <f t="shared" ref="D31:G31" si="21">D28+D25+D22+D14+D8</f>
        <v>7552970.04</v>
      </c>
      <c r="E31" s="28">
        <f t="shared" si="21"/>
        <v>0</v>
      </c>
      <c r="F31" s="28">
        <f t="shared" si="21"/>
        <v>7552970.04</v>
      </c>
      <c r="G31" s="28">
        <f t="shared" si="21"/>
        <v>7512056.6799999997</v>
      </c>
      <c r="H31" s="28">
        <f t="shared" ref="H31" si="22">F31-G31</f>
        <v>40913.360000000335</v>
      </c>
      <c r="I31" s="28">
        <f t="shared" ref="I31" si="23">I28+I25+I22+I14+I8</f>
        <v>7192575</v>
      </c>
      <c r="J31" s="45">
        <f t="shared" ref="J31" si="24">(I31-F31)/F31</f>
        <v>-4.7715671860390441E-2</v>
      </c>
      <c r="K31" s="45">
        <f t="shared" ref="K31" si="25">(I31-G31)/G31</f>
        <v>-4.2529189223316631E-2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5"/>
      <c r="B33" s="3" t="s">
        <v>15</v>
      </c>
      <c r="C33" s="21">
        <f t="shared" ref="C33" si="26">SUM(C34)</f>
        <v>0</v>
      </c>
      <c r="D33" s="21">
        <f t="shared" ref="D33:G33" si="27">SUM(D34)</f>
        <v>0</v>
      </c>
      <c r="E33" s="21">
        <f t="shared" si="27"/>
        <v>0</v>
      </c>
      <c r="F33" s="21">
        <f t="shared" si="27"/>
        <v>0</v>
      </c>
      <c r="G33" s="21">
        <f t="shared" si="27"/>
        <v>0</v>
      </c>
      <c r="H33" s="21">
        <f>IF(G33=0,0,G33-F33)</f>
        <v>0</v>
      </c>
      <c r="I33" s="21">
        <f t="shared" ref="I33" si="28">SUM(I34)</f>
        <v>0</v>
      </c>
      <c r="J33" s="21">
        <v>0</v>
      </c>
      <c r="K33" s="21">
        <v>0</v>
      </c>
    </row>
    <row r="34" spans="1:11" x14ac:dyDescent="0.2">
      <c r="A34" s="22" t="s">
        <v>53</v>
      </c>
      <c r="B34" s="23" t="s">
        <v>15</v>
      </c>
      <c r="C34" s="21"/>
      <c r="D34" s="21"/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1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1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25"/>
      <c r="B38" s="29" t="s">
        <v>36</v>
      </c>
      <c r="C38" s="21">
        <f>SUM(C39:C42)</f>
        <v>47982015.810000002</v>
      </c>
      <c r="D38" s="21">
        <f>SUM(D39:D42)</f>
        <v>51186384.719999999</v>
      </c>
      <c r="E38" s="21">
        <f>SUM(E39:E42)</f>
        <v>-1382361.48</v>
      </c>
      <c r="F38" s="21">
        <f>SUM(F39:F42)</f>
        <v>49804023.240000002</v>
      </c>
      <c r="G38" s="21">
        <f>SUM(G39:G42)</f>
        <v>49069665</v>
      </c>
      <c r="H38" s="21">
        <f t="shared" ref="H38:H59" si="29">F38-G38</f>
        <v>734358.24000000209</v>
      </c>
      <c r="I38" s="21">
        <f>SUM(I39:I42)</f>
        <v>47016014</v>
      </c>
      <c r="J38" s="44">
        <f t="shared" ref="J38:J42" si="30">(I38-F38)/F38</f>
        <v>-5.5979598808009914E-2</v>
      </c>
      <c r="K38" s="44">
        <f t="shared" ref="K38:K42" si="31">(I38-G38)/G38</f>
        <v>-4.1851742823188216E-2</v>
      </c>
    </row>
    <row r="39" spans="1:11" x14ac:dyDescent="0.2">
      <c r="A39" s="22" t="s">
        <v>54</v>
      </c>
      <c r="B39" s="23" t="s">
        <v>17</v>
      </c>
      <c r="C39" s="21">
        <v>40344475.340000004</v>
      </c>
      <c r="D39" s="21">
        <v>42081001.079999998</v>
      </c>
      <c r="E39" s="21">
        <v>-1019354.52</v>
      </c>
      <c r="F39" s="21">
        <f>D39+E39</f>
        <v>41061646.559999995</v>
      </c>
      <c r="G39" s="21">
        <v>40935507</v>
      </c>
      <c r="H39" s="21">
        <f t="shared" si="29"/>
        <v>126139.55999999493</v>
      </c>
      <c r="I39" s="21">
        <v>38562944</v>
      </c>
      <c r="J39" s="44">
        <f t="shared" si="30"/>
        <v>-6.0852468649761696E-2</v>
      </c>
      <c r="K39" s="44">
        <f t="shared" si="31"/>
        <v>-5.7958559057299575E-2</v>
      </c>
    </row>
    <row r="40" spans="1:11" x14ac:dyDescent="0.2">
      <c r="A40" s="22" t="s">
        <v>55</v>
      </c>
      <c r="B40" s="23" t="s">
        <v>18</v>
      </c>
      <c r="C40" s="21">
        <v>6629115.5700000003</v>
      </c>
      <c r="D40" s="21">
        <v>7048567.6799999997</v>
      </c>
      <c r="E40" s="21">
        <v>-129683.16</v>
      </c>
      <c r="F40" s="21">
        <f>D40+E40</f>
        <v>6918884.5199999996</v>
      </c>
      <c r="G40" s="21">
        <v>6912102</v>
      </c>
      <c r="H40" s="21">
        <f t="shared" si="29"/>
        <v>6782.519999999553</v>
      </c>
      <c r="I40" s="21">
        <v>6747736</v>
      </c>
      <c r="J40" s="44">
        <f t="shared" si="30"/>
        <v>-2.4736432513835276E-2</v>
      </c>
      <c r="K40" s="44">
        <f t="shared" si="31"/>
        <v>-2.3779452328683805E-2</v>
      </c>
    </row>
    <row r="41" spans="1:11" x14ac:dyDescent="0.2">
      <c r="A41" s="22" t="s">
        <v>56</v>
      </c>
      <c r="B41" s="23" t="s">
        <v>19</v>
      </c>
      <c r="C41" s="21">
        <v>2443264.59</v>
      </c>
      <c r="D41" s="21">
        <v>2541692.4</v>
      </c>
      <c r="E41" s="21">
        <v>-106729.56</v>
      </c>
      <c r="F41" s="21">
        <f>D41+E41</f>
        <v>2434962.84</v>
      </c>
      <c r="G41" s="21">
        <v>2422056</v>
      </c>
      <c r="H41" s="21">
        <f t="shared" si="29"/>
        <v>12906.839999999851</v>
      </c>
      <c r="I41" s="21">
        <v>2321875</v>
      </c>
      <c r="J41" s="44">
        <f t="shared" si="30"/>
        <v>-4.6443353525674282E-2</v>
      </c>
      <c r="K41" s="44">
        <f t="shared" si="31"/>
        <v>-4.1361966857909147E-2</v>
      </c>
    </row>
    <row r="42" spans="1:11" x14ac:dyDescent="0.2">
      <c r="A42" s="22" t="s">
        <v>57</v>
      </c>
      <c r="B42" s="23" t="s">
        <v>20</v>
      </c>
      <c r="C42" s="21">
        <v>-1434839.69</v>
      </c>
      <c r="D42" s="21">
        <v>-484876.44</v>
      </c>
      <c r="E42" s="21">
        <v>-126594.24000000001</v>
      </c>
      <c r="F42" s="21">
        <f>D42+E42</f>
        <v>-611470.68000000005</v>
      </c>
      <c r="G42" s="21">
        <v>-1200000</v>
      </c>
      <c r="H42" s="21">
        <f t="shared" si="29"/>
        <v>588529.31999999995</v>
      </c>
      <c r="I42" s="21">
        <v>-616541</v>
      </c>
      <c r="J42" s="44">
        <f t="shared" si="30"/>
        <v>8.2920083756100101E-3</v>
      </c>
      <c r="K42" s="44">
        <f t="shared" si="31"/>
        <v>-0.48621583333333335</v>
      </c>
    </row>
    <row r="43" spans="1:11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A44" s="25"/>
      <c r="B44" s="29" t="s">
        <v>37</v>
      </c>
      <c r="C44" s="21">
        <f t="shared" ref="C44" si="32">SUM(C45:C46)</f>
        <v>8309194.2199999997</v>
      </c>
      <c r="D44" s="21">
        <f t="shared" ref="D44:G44" si="33">SUM(D45:D46)</f>
        <v>8583483.9600000009</v>
      </c>
      <c r="E44" s="21">
        <f t="shared" si="33"/>
        <v>0</v>
      </c>
      <c r="F44" s="21">
        <f t="shared" si="33"/>
        <v>8583483.9600000009</v>
      </c>
      <c r="G44" s="21">
        <f t="shared" si="33"/>
        <v>8660334</v>
      </c>
      <c r="H44" s="21">
        <f t="shared" ref="H44" si="34">SUM(H45:H46)</f>
        <v>-76850.040000000037</v>
      </c>
      <c r="I44" s="21">
        <f t="shared" ref="I44" si="35">SUM(I45:I46)</f>
        <v>8221202</v>
      </c>
      <c r="J44" s="44">
        <f t="shared" ref="J44:J46" si="36">(I44-F44)/F44</f>
        <v>-4.2206866313058367E-2</v>
      </c>
      <c r="K44" s="44">
        <f t="shared" ref="K44:K46" si="37">(I44-G44)/G44</f>
        <v>-5.0706127500394327E-2</v>
      </c>
    </row>
    <row r="45" spans="1:11" x14ac:dyDescent="0.2">
      <c r="A45" s="22" t="s">
        <v>58</v>
      </c>
      <c r="B45" s="23" t="s">
        <v>21</v>
      </c>
      <c r="C45" s="21">
        <v>1584561.59</v>
      </c>
      <c r="D45" s="21">
        <v>1400449.92</v>
      </c>
      <c r="E45" s="21"/>
      <c r="F45" s="21">
        <f>D45+E45</f>
        <v>1400449.92</v>
      </c>
      <c r="G45" s="21">
        <v>1400450</v>
      </c>
      <c r="H45" s="21">
        <f t="shared" si="29"/>
        <v>-8.0000000074505806E-2</v>
      </c>
      <c r="I45" s="21">
        <v>1300000</v>
      </c>
      <c r="J45" s="44">
        <v>0</v>
      </c>
      <c r="K45" s="44">
        <v>0</v>
      </c>
    </row>
    <row r="46" spans="1:11" x14ac:dyDescent="0.2">
      <c r="A46" s="22" t="s">
        <v>59</v>
      </c>
      <c r="B46" s="23" t="s">
        <v>22</v>
      </c>
      <c r="C46" s="21">
        <v>6724632.6299999999</v>
      </c>
      <c r="D46" s="21">
        <v>7183034.04</v>
      </c>
      <c r="E46" s="21"/>
      <c r="F46" s="21">
        <f>D46+E46</f>
        <v>7183034.04</v>
      </c>
      <c r="G46" s="21">
        <v>7259884</v>
      </c>
      <c r="H46" s="21">
        <f t="shared" si="29"/>
        <v>-76849.959999999963</v>
      </c>
      <c r="I46" s="21">
        <v>6921202</v>
      </c>
      <c r="J46" s="44">
        <f t="shared" si="36"/>
        <v>-3.6451454711468975E-2</v>
      </c>
      <c r="K46" s="44">
        <f t="shared" si="37"/>
        <v>-4.6651158613553602E-2</v>
      </c>
    </row>
    <row r="47" spans="1:11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2">
      <c r="A48" s="25"/>
      <c r="B48" s="29" t="s">
        <v>38</v>
      </c>
      <c r="C48" s="21">
        <f t="shared" ref="C48" si="38">SUM(C49:C50)</f>
        <v>899012.61</v>
      </c>
      <c r="D48" s="21">
        <f t="shared" ref="D48:G48" si="39">SUM(D49:D50)</f>
        <v>871331.4</v>
      </c>
      <c r="E48" s="21">
        <f t="shared" si="39"/>
        <v>-18923.28</v>
      </c>
      <c r="F48" s="21">
        <f t="shared" si="39"/>
        <v>852408.12</v>
      </c>
      <c r="G48" s="21">
        <f t="shared" si="39"/>
        <v>852408</v>
      </c>
      <c r="H48" s="21">
        <f t="shared" ref="H48" si="40">SUM(H49:H50)</f>
        <v>0.11999999999534339</v>
      </c>
      <c r="I48" s="21">
        <f t="shared" ref="I48" si="41">SUM(I49:I50)</f>
        <v>803305</v>
      </c>
      <c r="J48" s="44">
        <f t="shared" ref="J48:J49" si="42">(I48-F48)/F48</f>
        <v>-5.7605176262281496E-2</v>
      </c>
      <c r="K48" s="44">
        <f t="shared" ref="K48:K49" si="43">(I48-G48)/G48</f>
        <v>-5.7605043594147406E-2</v>
      </c>
    </row>
    <row r="49" spans="1:11" x14ac:dyDescent="0.2">
      <c r="A49" s="22" t="s">
        <v>60</v>
      </c>
      <c r="B49" s="23" t="s">
        <v>23</v>
      </c>
      <c r="C49" s="21">
        <v>899084.75</v>
      </c>
      <c r="D49" s="21">
        <v>871331.4</v>
      </c>
      <c r="E49" s="21">
        <v>-18923.28</v>
      </c>
      <c r="F49" s="21">
        <f>D49+E49</f>
        <v>852408.12</v>
      </c>
      <c r="G49" s="21">
        <f>871331-18923</f>
        <v>852408</v>
      </c>
      <c r="H49" s="21">
        <f t="shared" si="29"/>
        <v>0.11999999999534339</v>
      </c>
      <c r="I49" s="21">
        <v>803305</v>
      </c>
      <c r="J49" s="44">
        <f t="shared" si="42"/>
        <v>-5.7605176262281496E-2</v>
      </c>
      <c r="K49" s="44">
        <f t="shared" si="43"/>
        <v>-5.7605043594147406E-2</v>
      </c>
    </row>
    <row r="50" spans="1:11" x14ac:dyDescent="0.2">
      <c r="A50" s="22" t="s">
        <v>61</v>
      </c>
      <c r="B50" s="23" t="s">
        <v>24</v>
      </c>
      <c r="C50" s="21">
        <v>-72.14</v>
      </c>
      <c r="D50" s="21">
        <v>0</v>
      </c>
      <c r="E50" s="21"/>
      <c r="F50" s="21">
        <f>D50+E50</f>
        <v>0</v>
      </c>
      <c r="G50" s="21"/>
      <c r="H50" s="21">
        <f t="shared" si="29"/>
        <v>0</v>
      </c>
      <c r="I50" s="21"/>
      <c r="J50" s="44">
        <v>0</v>
      </c>
      <c r="K50" s="44">
        <v>0</v>
      </c>
    </row>
    <row r="51" spans="1:11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A52" s="25"/>
      <c r="B52" s="29" t="s">
        <v>25</v>
      </c>
      <c r="C52" s="21">
        <f t="shared" ref="C52" si="44">SUM(C53:C55)</f>
        <v>20326896.899999999</v>
      </c>
      <c r="D52" s="21">
        <f t="shared" ref="D52:G52" si="45">SUM(D53:D55)</f>
        <v>19383280.920000002</v>
      </c>
      <c r="E52" s="21">
        <f t="shared" si="45"/>
        <v>1384800</v>
      </c>
      <c r="F52" s="21">
        <f t="shared" si="45"/>
        <v>20768080.920000002</v>
      </c>
      <c r="G52" s="21">
        <f t="shared" si="45"/>
        <v>22126301</v>
      </c>
      <c r="H52" s="21">
        <f t="shared" ref="H52" si="46">SUM(H53:H55)</f>
        <v>-1358220.0799999991</v>
      </c>
      <c r="I52" s="21">
        <f t="shared" ref="I52" si="47">SUM(I53:I55)</f>
        <v>24848800</v>
      </c>
      <c r="J52" s="44">
        <f t="shared" ref="J52:J54" si="48">(I52-F52)/F52</f>
        <v>0.19648994510947804</v>
      </c>
      <c r="K52" s="44">
        <f t="shared" ref="K52:K54" si="49">(I52-G52)/G52</f>
        <v>0.12304356702008167</v>
      </c>
    </row>
    <row r="53" spans="1:11" x14ac:dyDescent="0.2">
      <c r="A53" s="22" t="s">
        <v>62</v>
      </c>
      <c r="B53" s="23" t="s">
        <v>26</v>
      </c>
      <c r="C53" s="21">
        <v>20246896.899999999</v>
      </c>
      <c r="D53" s="21">
        <v>19283280.960000001</v>
      </c>
      <c r="E53" s="21">
        <v>1384800</v>
      </c>
      <c r="F53" s="21">
        <f>D53+E53</f>
        <v>20668080.960000001</v>
      </c>
      <c r="G53" s="21">
        <v>22026301</v>
      </c>
      <c r="H53" s="21">
        <f t="shared" si="29"/>
        <v>-1358220.0399999991</v>
      </c>
      <c r="I53" s="21">
        <v>24748800</v>
      </c>
      <c r="J53" s="44">
        <f t="shared" si="48"/>
        <v>0.19744063553348878</v>
      </c>
      <c r="K53" s="44">
        <f t="shared" si="49"/>
        <v>0.12360218812954567</v>
      </c>
    </row>
    <row r="54" spans="1:11" x14ac:dyDescent="0.2">
      <c r="A54" s="22" t="s">
        <v>63</v>
      </c>
      <c r="B54" s="23" t="s">
        <v>27</v>
      </c>
      <c r="C54" s="21">
        <v>80000</v>
      </c>
      <c r="D54" s="21">
        <v>99999.96</v>
      </c>
      <c r="E54" s="21"/>
      <c r="F54" s="21">
        <f>D54+E54</f>
        <v>99999.96</v>
      </c>
      <c r="G54" s="21">
        <v>100000</v>
      </c>
      <c r="H54" s="21">
        <f t="shared" si="29"/>
        <v>-3.9999999993597157E-2</v>
      </c>
      <c r="I54" s="21">
        <v>100000</v>
      </c>
      <c r="J54" s="44">
        <f t="shared" si="48"/>
        <v>4.0000015993603555E-7</v>
      </c>
      <c r="K54" s="44">
        <f t="shared" si="49"/>
        <v>0</v>
      </c>
    </row>
    <row r="55" spans="1:11" x14ac:dyDescent="0.2">
      <c r="A55" s="22" t="s">
        <v>64</v>
      </c>
      <c r="B55" s="23" t="s">
        <v>28</v>
      </c>
      <c r="C55" s="21"/>
      <c r="D55" s="21">
        <v>0</v>
      </c>
      <c r="E55" s="21"/>
      <c r="F55" s="21">
        <f>D55+E55</f>
        <v>0</v>
      </c>
      <c r="G55" s="21"/>
      <c r="H55" s="21">
        <f t="shared" si="29"/>
        <v>0</v>
      </c>
      <c r="I55" s="21"/>
      <c r="J55" s="44">
        <v>0</v>
      </c>
      <c r="K55" s="44">
        <v>0</v>
      </c>
    </row>
    <row r="56" spans="1:11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2">
      <c r="A57" s="25"/>
      <c r="B57" s="29" t="s">
        <v>29</v>
      </c>
      <c r="C57" s="21">
        <f t="shared" ref="C57" si="50">SUM(C58:C59)</f>
        <v>8262230.9199999999</v>
      </c>
      <c r="D57" s="21">
        <f t="shared" ref="D57:G57" si="51">SUM(D58:D59)</f>
        <v>8359699.6799999997</v>
      </c>
      <c r="E57" s="21">
        <f t="shared" si="51"/>
        <v>0</v>
      </c>
      <c r="F57" s="21">
        <f t="shared" si="51"/>
        <v>8359699.6799999997</v>
      </c>
      <c r="G57" s="21">
        <f t="shared" si="51"/>
        <v>8382993</v>
      </c>
      <c r="H57" s="21">
        <f t="shared" ref="H57" si="52">SUM(H58:H59)</f>
        <v>-23293.319999999891</v>
      </c>
      <c r="I57" s="21">
        <f t="shared" ref="I57" si="53">SUM(I58:I59)</f>
        <v>8018993</v>
      </c>
      <c r="J57" s="44">
        <f t="shared" ref="J57:J59" si="54">(I57-F57)/F57</f>
        <v>-4.0755851650402797E-2</v>
      </c>
      <c r="K57" s="44">
        <f t="shared" ref="K57:K59" si="55">(I57-G57)/G57</f>
        <v>-4.3421245848588925E-2</v>
      </c>
    </row>
    <row r="58" spans="1:11" x14ac:dyDescent="0.2">
      <c r="A58" s="22" t="s">
        <v>65</v>
      </c>
      <c r="B58" s="23" t="s">
        <v>30</v>
      </c>
      <c r="C58" s="21">
        <v>8236399.1100000003</v>
      </c>
      <c r="D58" s="21">
        <v>8239974.1200000001</v>
      </c>
      <c r="E58" s="21"/>
      <c r="F58" s="21">
        <f>D58+E58</f>
        <v>8239974.1200000001</v>
      </c>
      <c r="G58" s="21">
        <v>8263267</v>
      </c>
      <c r="H58" s="21">
        <f t="shared" si="29"/>
        <v>-23292.879999999888</v>
      </c>
      <c r="I58" s="21">
        <v>7952693</v>
      </c>
      <c r="J58" s="44">
        <f t="shared" si="54"/>
        <v>-3.4864323093286624E-2</v>
      </c>
      <c r="K58" s="44">
        <f t="shared" si="55"/>
        <v>-3.7584892270817342E-2</v>
      </c>
    </row>
    <row r="59" spans="1:11" x14ac:dyDescent="0.2">
      <c r="A59" s="22" t="s">
        <v>66</v>
      </c>
      <c r="B59" s="23" t="s">
        <v>31</v>
      </c>
      <c r="C59" s="21">
        <v>25831.81</v>
      </c>
      <c r="D59" s="21">
        <v>119725.56</v>
      </c>
      <c r="E59" s="21"/>
      <c r="F59" s="21">
        <f>D59+E59</f>
        <v>119725.56</v>
      </c>
      <c r="G59" s="21">
        <v>119726</v>
      </c>
      <c r="H59" s="21">
        <f t="shared" si="29"/>
        <v>-0.44000000000232831</v>
      </c>
      <c r="I59" s="21">
        <v>66300</v>
      </c>
      <c r="J59" s="44">
        <f t="shared" si="54"/>
        <v>-0.44623353609705396</v>
      </c>
      <c r="K59" s="44">
        <f t="shared" si="55"/>
        <v>-0.44623557122095453</v>
      </c>
    </row>
    <row r="60" spans="1:11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1" ht="15" x14ac:dyDescent="0.25">
      <c r="A61" s="33"/>
      <c r="B61" s="27" t="s">
        <v>32</v>
      </c>
      <c r="C61" s="28">
        <f t="shared" ref="C61" si="56">C57+C52+C48+C44+C38</f>
        <v>85779350.460000008</v>
      </c>
      <c r="D61" s="28">
        <f t="shared" ref="D61:G61" si="57">D57+D52+D48+D44+D38</f>
        <v>88384180.680000007</v>
      </c>
      <c r="E61" s="28">
        <f t="shared" si="57"/>
        <v>-16484.760000000009</v>
      </c>
      <c r="F61" s="28">
        <f t="shared" si="57"/>
        <v>88367695.920000017</v>
      </c>
      <c r="G61" s="28">
        <f t="shared" si="57"/>
        <v>89091701</v>
      </c>
      <c r="H61" s="28">
        <f t="shared" ref="H61" si="58">F61-G61</f>
        <v>-724005.07999998331</v>
      </c>
      <c r="I61" s="28">
        <f t="shared" ref="I61" si="59">I57+I52+I48+I44+I38</f>
        <v>88908314</v>
      </c>
      <c r="J61" s="45">
        <f t="shared" ref="J61" si="60">(I61-F61)/F61</f>
        <v>6.1178247816872939E-3</v>
      </c>
      <c r="K61" s="45">
        <f t="shared" ref="K61" si="61">(I61-G61)/G61</f>
        <v>-2.0584072134844523E-3</v>
      </c>
    </row>
    <row r="62" spans="1:11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15" x14ac:dyDescent="0.25">
      <c r="A63" s="33"/>
      <c r="B63" s="27" t="s">
        <v>33</v>
      </c>
      <c r="C63" s="28">
        <f t="shared" ref="C63" si="62">C31+C33-C61</f>
        <v>-78332714.570000008</v>
      </c>
      <c r="D63" s="28">
        <f t="shared" ref="D63:G63" si="63">D31+D33-D61</f>
        <v>-80831210.640000001</v>
      </c>
      <c r="E63" s="28">
        <f t="shared" si="63"/>
        <v>16484.760000000009</v>
      </c>
      <c r="F63" s="28">
        <f t="shared" si="63"/>
        <v>-80814725.88000001</v>
      </c>
      <c r="G63" s="28">
        <f t="shared" si="63"/>
        <v>-81579644.319999993</v>
      </c>
      <c r="H63" s="28">
        <f t="shared" ref="H63" si="64">H31-H61</f>
        <v>764918.43999998365</v>
      </c>
      <c r="I63" s="28">
        <f t="shared" ref="I63" si="65">I31+I33-I61</f>
        <v>-81715739</v>
      </c>
      <c r="J63" s="45">
        <f>(I63-F63)/F63</f>
        <v>1.1149120536990798E-2</v>
      </c>
      <c r="K63" s="45">
        <f>(I63-G63)/G63</f>
        <v>1.6682431154782849E-3</v>
      </c>
    </row>
    <row r="64" spans="1:11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</row>
    <row r="66" spans="10:11" x14ac:dyDescent="0.2">
      <c r="J66" s="41"/>
      <c r="K66" s="41"/>
    </row>
  </sheetData>
  <phoneticPr fontId="7" type="noConversion"/>
  <pageMargins left="0.78740157480314965" right="0.78740157480314965" top="0.78740157480314965" bottom="0.78740157480314965" header="0.51181102362204722" footer="0.51181102362204722"/>
  <pageSetup paperSize="9" scale="52" orientation="portrait" r:id="rId1"/>
  <headerFooter alignWithMargins="0"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pageSetUpPr fitToPage="1"/>
  </sheetPr>
  <dimension ref="A1:K66"/>
  <sheetViews>
    <sheetView zoomScale="82" zoomScaleNormal="82" workbookViewId="0">
      <pane xSplit="2" ySplit="5" topLeftCell="C6" activePane="bottomRight" state="frozen"/>
      <selection activeCell="H13" sqref="H13"/>
      <selection pane="topRight" activeCell="H13" sqref="H13"/>
      <selection pane="bottomLeft" activeCell="H13" sqref="H13"/>
      <selection pane="bottomRight" activeCell="I42" sqref="I42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1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1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1" x14ac:dyDescent="0.2">
      <c r="A4" s="12"/>
      <c r="B4" s="6" t="s">
        <v>100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1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1" x14ac:dyDescent="0.2">
      <c r="A8" s="20"/>
      <c r="B8" s="3" t="s">
        <v>35</v>
      </c>
      <c r="C8" s="21">
        <f t="shared" ref="C8" si="0">SUM(C9:C12)</f>
        <v>6743399.2999999998</v>
      </c>
      <c r="D8" s="21">
        <f t="shared" ref="D8:G8" si="1">SUM(D9:D12)</f>
        <v>6773313.7199999997</v>
      </c>
      <c r="E8" s="21">
        <f t="shared" si="1"/>
        <v>0</v>
      </c>
      <c r="F8" s="21">
        <f t="shared" si="1"/>
        <v>6773313.7199999997</v>
      </c>
      <c r="G8" s="21">
        <f t="shared" si="1"/>
        <v>6654300</v>
      </c>
      <c r="H8" s="21">
        <f>F8-G8</f>
        <v>119013.71999999974</v>
      </c>
      <c r="I8" s="21">
        <f t="shared" ref="I8" si="2">SUM(I9:I12)</f>
        <v>6669360</v>
      </c>
      <c r="J8" s="44">
        <f>(I8-F8)/F8</f>
        <v>-1.5347542472903462E-2</v>
      </c>
      <c r="K8" s="44">
        <f>(I8-G8)/G8</f>
        <v>2.2631982327216988E-3</v>
      </c>
    </row>
    <row r="9" spans="1:11" x14ac:dyDescent="0.2">
      <c r="A9" s="22" t="s">
        <v>39</v>
      </c>
      <c r="B9" s="23" t="s">
        <v>1</v>
      </c>
      <c r="C9" s="21">
        <v>23235.27</v>
      </c>
      <c r="D9" s="21">
        <v>27513.84</v>
      </c>
      <c r="E9" s="21"/>
      <c r="F9" s="21">
        <f>D9+E9</f>
        <v>27513.84</v>
      </c>
      <c r="G9" s="21">
        <v>23000</v>
      </c>
      <c r="H9" s="21">
        <f t="shared" ref="H9:H29" si="3">F9-G9</f>
        <v>4513.84</v>
      </c>
      <c r="I9" s="21">
        <v>21895</v>
      </c>
      <c r="J9" s="44">
        <f t="shared" ref="J9:J26" si="4">(I9-F9)/F9</f>
        <v>-0.2042186768549937</v>
      </c>
      <c r="K9" s="44">
        <f t="shared" ref="K9:K29" si="5">(I9-G9)/G9</f>
        <v>-4.8043478260869563E-2</v>
      </c>
    </row>
    <row r="10" spans="1:11" x14ac:dyDescent="0.2">
      <c r="A10" s="22" t="s">
        <v>40</v>
      </c>
      <c r="B10" s="23" t="s">
        <v>41</v>
      </c>
      <c r="C10" s="21"/>
      <c r="D10" s="21"/>
      <c r="E10" s="21"/>
      <c r="F10" s="21">
        <f>D10+E10</f>
        <v>0</v>
      </c>
      <c r="G10" s="21"/>
      <c r="H10" s="21">
        <f t="shared" si="3"/>
        <v>0</v>
      </c>
      <c r="I10" s="21"/>
      <c r="J10" s="44">
        <v>0</v>
      </c>
      <c r="K10" s="44">
        <v>0</v>
      </c>
    </row>
    <row r="11" spans="1:11" x14ac:dyDescent="0.2">
      <c r="A11" s="22" t="s">
        <v>42</v>
      </c>
      <c r="B11" s="23" t="s">
        <v>2</v>
      </c>
      <c r="C11" s="21">
        <v>6062141.0300000003</v>
      </c>
      <c r="D11" s="21">
        <v>6115499.8799999999</v>
      </c>
      <c r="E11" s="21"/>
      <c r="F11" s="21">
        <f>D11+E11</f>
        <v>6115499.8799999999</v>
      </c>
      <c r="G11" s="21">
        <v>6000000</v>
      </c>
      <c r="H11" s="21">
        <f t="shared" si="3"/>
        <v>115499.87999999989</v>
      </c>
      <c r="I11" s="21">
        <v>6018060</v>
      </c>
      <c r="J11" s="44">
        <f t="shared" si="4"/>
        <v>-1.5933264968030689E-2</v>
      </c>
      <c r="K11" s="44">
        <f t="shared" si="5"/>
        <v>3.0100000000000001E-3</v>
      </c>
    </row>
    <row r="12" spans="1:11" x14ac:dyDescent="0.2">
      <c r="A12" s="22" t="s">
        <v>43</v>
      </c>
      <c r="B12" s="23" t="s">
        <v>3</v>
      </c>
      <c r="C12" s="21">
        <v>658023</v>
      </c>
      <c r="D12" s="21">
        <v>630300</v>
      </c>
      <c r="E12" s="21"/>
      <c r="F12" s="21">
        <f>D12+E12</f>
        <v>630300</v>
      </c>
      <c r="G12" s="21">
        <v>631300</v>
      </c>
      <c r="H12" s="21">
        <f t="shared" si="3"/>
        <v>-1000</v>
      </c>
      <c r="I12" s="21">
        <v>629405</v>
      </c>
      <c r="J12" s="44">
        <f t="shared" si="4"/>
        <v>-1.4199587498016817E-3</v>
      </c>
      <c r="K12" s="44">
        <f t="shared" si="5"/>
        <v>-3.0017424362426739E-3</v>
      </c>
    </row>
    <row r="13" spans="1:11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">
      <c r="A14" s="25"/>
      <c r="B14" s="3" t="s">
        <v>4</v>
      </c>
      <c r="C14" s="21">
        <f t="shared" ref="C14" si="6">SUM(C15:C20)</f>
        <v>50134.45</v>
      </c>
      <c r="D14" s="21">
        <f t="shared" ref="D14:G14" si="7">SUM(D15:D20)</f>
        <v>50100</v>
      </c>
      <c r="E14" s="21">
        <f t="shared" si="7"/>
        <v>0</v>
      </c>
      <c r="F14" s="21">
        <f t="shared" si="7"/>
        <v>50100</v>
      </c>
      <c r="G14" s="21">
        <f t="shared" si="7"/>
        <v>50200</v>
      </c>
      <c r="H14" s="21">
        <f t="shared" ref="H14" si="8">SUM(H15:H20)</f>
        <v>-100</v>
      </c>
      <c r="I14" s="21">
        <f t="shared" ref="I14" si="9">SUM(I15:I20)</f>
        <v>50000</v>
      </c>
      <c r="J14" s="44">
        <f t="shared" si="4"/>
        <v>-1.996007984031936E-3</v>
      </c>
      <c r="K14" s="44">
        <f t="shared" si="5"/>
        <v>-3.9840637450199202E-3</v>
      </c>
    </row>
    <row r="15" spans="1:11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10">D15+E15</f>
        <v>0</v>
      </c>
      <c r="G15" s="21"/>
      <c r="H15" s="21">
        <f t="shared" si="3"/>
        <v>0</v>
      </c>
      <c r="I15" s="21"/>
      <c r="J15" s="44">
        <v>0</v>
      </c>
      <c r="K15" s="44">
        <v>0</v>
      </c>
    </row>
    <row r="16" spans="1:11" x14ac:dyDescent="0.2">
      <c r="A16" s="22" t="s">
        <v>45</v>
      </c>
      <c r="B16" s="23" t="s">
        <v>6</v>
      </c>
      <c r="C16" s="21"/>
      <c r="D16" s="21"/>
      <c r="E16" s="21"/>
      <c r="F16" s="21">
        <f t="shared" si="10"/>
        <v>0</v>
      </c>
      <c r="G16" s="21"/>
      <c r="H16" s="21">
        <f t="shared" si="3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>
        <v>43642</v>
      </c>
      <c r="D17" s="21">
        <v>46200</v>
      </c>
      <c r="E17" s="21"/>
      <c r="F17" s="21">
        <f t="shared" si="10"/>
        <v>46200</v>
      </c>
      <c r="G17" s="21">
        <v>46200</v>
      </c>
      <c r="H17" s="21">
        <f t="shared" si="3"/>
        <v>0</v>
      </c>
      <c r="I17" s="21">
        <v>45000</v>
      </c>
      <c r="J17" s="44">
        <f t="shared" si="4"/>
        <v>-2.5974025974025976E-2</v>
      </c>
      <c r="K17" s="44">
        <f t="shared" si="5"/>
        <v>-2.5974025974025976E-2</v>
      </c>
    </row>
    <row r="18" spans="1:11" x14ac:dyDescent="0.2">
      <c r="A18" s="22" t="s">
        <v>47</v>
      </c>
      <c r="B18" s="23" t="s">
        <v>8</v>
      </c>
      <c r="C18" s="21">
        <v>6349.71</v>
      </c>
      <c r="D18" s="21">
        <v>3900</v>
      </c>
      <c r="E18" s="21"/>
      <c r="F18" s="21">
        <f t="shared" si="10"/>
        <v>3900</v>
      </c>
      <c r="G18" s="21">
        <v>3900</v>
      </c>
      <c r="H18" s="21">
        <f t="shared" si="3"/>
        <v>0</v>
      </c>
      <c r="I18" s="21">
        <v>5000</v>
      </c>
      <c r="J18" s="44">
        <f t="shared" si="4"/>
        <v>0.28205128205128205</v>
      </c>
      <c r="K18" s="44">
        <f t="shared" si="5"/>
        <v>0.28205128205128205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10"/>
        <v>0</v>
      </c>
      <c r="G19" s="21"/>
      <c r="H19" s="21">
        <f t="shared" si="3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>
        <v>142.74</v>
      </c>
      <c r="D20" s="21"/>
      <c r="E20" s="21"/>
      <c r="F20" s="21">
        <f t="shared" si="10"/>
        <v>0</v>
      </c>
      <c r="G20" s="21">
        <v>100</v>
      </c>
      <c r="H20" s="21">
        <f t="shared" si="3"/>
        <v>-100</v>
      </c>
      <c r="I20" s="21"/>
      <c r="J20" s="44">
        <v>0</v>
      </c>
      <c r="K20" s="44">
        <f t="shared" si="5"/>
        <v>-1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" si="11">SUM(C23)</f>
        <v>3541917.39</v>
      </c>
      <c r="D22" s="21">
        <f t="shared" ref="D22:H22" si="12">SUM(D23)</f>
        <v>3258376.92</v>
      </c>
      <c r="E22" s="21">
        <f t="shared" si="12"/>
        <v>0</v>
      </c>
      <c r="F22" s="21">
        <f t="shared" si="12"/>
        <v>3258376.92</v>
      </c>
      <c r="G22" s="21">
        <f t="shared" si="12"/>
        <v>5787667</v>
      </c>
      <c r="H22" s="21">
        <f t="shared" si="12"/>
        <v>-2529290.08</v>
      </c>
      <c r="I22" s="21">
        <f t="shared" ref="I22" si="13">SUM(I23)</f>
        <v>3537044</v>
      </c>
      <c r="J22" s="44">
        <f t="shared" si="4"/>
        <v>8.5523279486033207E-2</v>
      </c>
      <c r="K22" s="44">
        <f t="shared" si="5"/>
        <v>-0.38886532345416558</v>
      </c>
    </row>
    <row r="23" spans="1:11" x14ac:dyDescent="0.2">
      <c r="A23" s="22" t="s">
        <v>50</v>
      </c>
      <c r="B23" s="23" t="s">
        <v>11</v>
      </c>
      <c r="C23" s="21">
        <v>3541917.39</v>
      </c>
      <c r="D23" s="21">
        <v>3258376.92</v>
      </c>
      <c r="E23" s="21"/>
      <c r="F23" s="21">
        <f>D23+E23</f>
        <v>3258376.92</v>
      </c>
      <c r="G23" s="21">
        <v>5787667</v>
      </c>
      <c r="H23" s="21">
        <f t="shared" si="3"/>
        <v>-2529290.08</v>
      </c>
      <c r="I23" s="21">
        <v>3537044</v>
      </c>
      <c r="J23" s="44">
        <f t="shared" si="4"/>
        <v>8.5523279486033207E-2</v>
      </c>
      <c r="K23" s="44">
        <f t="shared" si="5"/>
        <v>-0.38886532345416558</v>
      </c>
    </row>
    <row r="24" spans="1:1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">
      <c r="A25" s="25"/>
      <c r="B25" s="3" t="s">
        <v>12</v>
      </c>
      <c r="C25" s="21">
        <f t="shared" ref="C25" si="14">SUM(C26)</f>
        <v>10479.66</v>
      </c>
      <c r="D25" s="21">
        <f t="shared" ref="D25:H25" si="15">SUM(D26)</f>
        <v>6949.92</v>
      </c>
      <c r="E25" s="21">
        <f t="shared" si="15"/>
        <v>0</v>
      </c>
      <c r="F25" s="21">
        <f t="shared" si="15"/>
        <v>6949.92</v>
      </c>
      <c r="G25" s="21">
        <f t="shared" si="15"/>
        <v>9500</v>
      </c>
      <c r="H25" s="21">
        <f t="shared" si="15"/>
        <v>-2550.08</v>
      </c>
      <c r="I25" s="21">
        <f t="shared" ref="I25" si="16">SUM(I26)</f>
        <v>6950</v>
      </c>
      <c r="J25" s="44">
        <f t="shared" si="4"/>
        <v>1.1510923866739075E-5</v>
      </c>
      <c r="K25" s="44">
        <f t="shared" si="5"/>
        <v>-0.26842105263157895</v>
      </c>
    </row>
    <row r="26" spans="1:11" x14ac:dyDescent="0.2">
      <c r="A26" s="22" t="s">
        <v>51</v>
      </c>
      <c r="B26" s="23" t="s">
        <v>12</v>
      </c>
      <c r="C26" s="21">
        <v>10479.66</v>
      </c>
      <c r="D26" s="21">
        <v>6949.92</v>
      </c>
      <c r="E26" s="21"/>
      <c r="F26" s="21">
        <f>D26+E26</f>
        <v>6949.92</v>
      </c>
      <c r="G26" s="21">
        <v>9500</v>
      </c>
      <c r="H26" s="21">
        <f t="shared" si="3"/>
        <v>-2550.08</v>
      </c>
      <c r="I26" s="21">
        <v>6950</v>
      </c>
      <c r="J26" s="44">
        <f t="shared" si="4"/>
        <v>1.1510923866739075E-5</v>
      </c>
      <c r="K26" s="44">
        <f t="shared" si="5"/>
        <v>-0.26842105263157895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" si="17">SUM(C29)</f>
        <v>11020.73</v>
      </c>
      <c r="D28" s="21">
        <f t="shared" ref="D28:H28" si="18">SUM(D29)</f>
        <v>0</v>
      </c>
      <c r="E28" s="21">
        <f t="shared" si="18"/>
        <v>0</v>
      </c>
      <c r="F28" s="21">
        <f t="shared" si="18"/>
        <v>0</v>
      </c>
      <c r="G28" s="21">
        <f t="shared" si="18"/>
        <v>6000</v>
      </c>
      <c r="H28" s="21">
        <f t="shared" si="18"/>
        <v>-6000</v>
      </c>
      <c r="I28" s="21">
        <f t="shared" ref="I28" si="19">SUM(I29)</f>
        <v>0</v>
      </c>
      <c r="J28" s="44">
        <v>0</v>
      </c>
      <c r="K28" s="44">
        <f t="shared" si="5"/>
        <v>-1</v>
      </c>
    </row>
    <row r="29" spans="1:11" x14ac:dyDescent="0.2">
      <c r="A29" s="22" t="s">
        <v>52</v>
      </c>
      <c r="B29" s="23" t="s">
        <v>13</v>
      </c>
      <c r="C29" s="21">
        <v>11020.73</v>
      </c>
      <c r="D29" s="21"/>
      <c r="E29" s="21"/>
      <c r="F29" s="21">
        <f>D29+E29</f>
        <v>0</v>
      </c>
      <c r="G29" s="21">
        <v>6000</v>
      </c>
      <c r="H29" s="21">
        <f t="shared" si="3"/>
        <v>-6000</v>
      </c>
      <c r="I29" s="21"/>
      <c r="J29" s="44">
        <v>0</v>
      </c>
      <c r="K29" s="44">
        <f t="shared" si="5"/>
        <v>-1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" si="20">C28+C25+C22+C14+C8</f>
        <v>10356951.530000001</v>
      </c>
      <c r="D31" s="28">
        <f t="shared" ref="D31:G31" si="21">D28+D25+D22+D14+D8</f>
        <v>10088740.559999999</v>
      </c>
      <c r="E31" s="28">
        <f t="shared" si="21"/>
        <v>0</v>
      </c>
      <c r="F31" s="28">
        <f t="shared" si="21"/>
        <v>10088740.559999999</v>
      </c>
      <c r="G31" s="28">
        <f t="shared" si="21"/>
        <v>12507667</v>
      </c>
      <c r="H31" s="28">
        <f t="shared" ref="H31" si="22">F31-G31</f>
        <v>-2418926.4400000013</v>
      </c>
      <c r="I31" s="28">
        <f t="shared" ref="I31" si="23">I28+I25+I22+I14+I8</f>
        <v>10263354</v>
      </c>
      <c r="J31" s="45">
        <f t="shared" ref="J31" si="24">(I31-F31)/F31</f>
        <v>1.7307754021578425E-2</v>
      </c>
      <c r="K31" s="45">
        <f t="shared" ref="K31" si="25">(I31-G31)/G31</f>
        <v>-0.17943498175958794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5"/>
      <c r="B33" s="3" t="s">
        <v>15</v>
      </c>
      <c r="C33" s="21">
        <f t="shared" ref="C33" si="26">SUM(C34)</f>
        <v>0</v>
      </c>
      <c r="D33" s="21">
        <f t="shared" ref="D33:G33" si="27">SUM(D34)</f>
        <v>0</v>
      </c>
      <c r="E33" s="21">
        <f t="shared" si="27"/>
        <v>0</v>
      </c>
      <c r="F33" s="21">
        <f t="shared" si="27"/>
        <v>0</v>
      </c>
      <c r="G33" s="21">
        <f t="shared" si="27"/>
        <v>0</v>
      </c>
      <c r="H33" s="21">
        <f>IF(G33=0,0,G33-F33)</f>
        <v>0</v>
      </c>
      <c r="I33" s="21">
        <f t="shared" ref="I33" si="28">SUM(I34)</f>
        <v>0</v>
      </c>
      <c r="J33" s="21">
        <v>0</v>
      </c>
      <c r="K33" s="21">
        <v>0</v>
      </c>
    </row>
    <row r="34" spans="1:11" x14ac:dyDescent="0.2">
      <c r="A34" s="22" t="s">
        <v>53</v>
      </c>
      <c r="B34" s="23" t="s">
        <v>15</v>
      </c>
      <c r="C34" s="21"/>
      <c r="D34" s="21">
        <v>0</v>
      </c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1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1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25"/>
      <c r="B38" s="29" t="s">
        <v>36</v>
      </c>
      <c r="C38" s="21">
        <f>SUM(C39:C42)</f>
        <v>64026321.269999996</v>
      </c>
      <c r="D38" s="21">
        <f>SUM(D39:D42)</f>
        <v>62743505.279999994</v>
      </c>
      <c r="E38" s="21">
        <f>SUM(E39:E42)</f>
        <v>471014.52</v>
      </c>
      <c r="F38" s="21">
        <f>SUM(F39:F42)</f>
        <v>63214519.79999999</v>
      </c>
      <c r="G38" s="21">
        <f>SUM(G39:G42)</f>
        <v>65551053</v>
      </c>
      <c r="H38" s="21">
        <f t="shared" ref="H38:H59" si="29">F38-G38</f>
        <v>-2336533.2000000104</v>
      </c>
      <c r="I38" s="21">
        <f>SUM(I39:I42)</f>
        <v>62834489</v>
      </c>
      <c r="J38" s="44">
        <f t="shared" ref="J38:J42" si="30">(I38-F38)/F38</f>
        <v>-6.0117644047972289E-3</v>
      </c>
      <c r="K38" s="44">
        <f t="shared" ref="K38:K42" si="31">(I38-G38)/G38</f>
        <v>-4.1441958224530735E-2</v>
      </c>
    </row>
    <row r="39" spans="1:11" x14ac:dyDescent="0.2">
      <c r="A39" s="22" t="s">
        <v>54</v>
      </c>
      <c r="B39" s="23" t="s">
        <v>17</v>
      </c>
      <c r="C39" s="21">
        <v>52922578.439999998</v>
      </c>
      <c r="D39" s="21">
        <v>51383649.119999997</v>
      </c>
      <c r="E39" s="21">
        <v>379534.8</v>
      </c>
      <c r="F39" s="21">
        <f>D39+E39</f>
        <v>51763183.919999994</v>
      </c>
      <c r="G39" s="21">
        <v>53678902</v>
      </c>
      <c r="H39" s="21">
        <f t="shared" si="29"/>
        <v>-1915718.0800000057</v>
      </c>
      <c r="I39" s="21">
        <v>50994780</v>
      </c>
      <c r="J39" s="44">
        <f t="shared" si="30"/>
        <v>-1.4844603090636052E-2</v>
      </c>
      <c r="K39" s="44">
        <f t="shared" si="31"/>
        <v>-5.0003295521953858E-2</v>
      </c>
    </row>
    <row r="40" spans="1:11" x14ac:dyDescent="0.2">
      <c r="A40" s="22" t="s">
        <v>55</v>
      </c>
      <c r="B40" s="23" t="s">
        <v>18</v>
      </c>
      <c r="C40" s="21">
        <v>9226671.8000000007</v>
      </c>
      <c r="D40" s="21">
        <v>8946049.0800000001</v>
      </c>
      <c r="E40" s="21">
        <v>67625.759999999995</v>
      </c>
      <c r="F40" s="21">
        <f>D40+E40</f>
        <v>9013674.8399999999</v>
      </c>
      <c r="G40" s="21">
        <v>10064240</v>
      </c>
      <c r="H40" s="21">
        <f t="shared" si="29"/>
        <v>-1050565.1600000001</v>
      </c>
      <c r="I40" s="21">
        <v>9494359</v>
      </c>
      <c r="J40" s="44">
        <f t="shared" si="30"/>
        <v>5.3328322635609979E-2</v>
      </c>
      <c r="K40" s="44">
        <f t="shared" si="31"/>
        <v>-5.6624345206394124E-2</v>
      </c>
    </row>
    <row r="41" spans="1:11" x14ac:dyDescent="0.2">
      <c r="A41" s="22" t="s">
        <v>56</v>
      </c>
      <c r="B41" s="23" t="s">
        <v>19</v>
      </c>
      <c r="C41" s="21">
        <v>3200465.31</v>
      </c>
      <c r="D41" s="21">
        <v>3100569</v>
      </c>
      <c r="E41" s="21">
        <v>23853.96</v>
      </c>
      <c r="F41" s="21">
        <f>D41+E41</f>
        <v>3124422.96</v>
      </c>
      <c r="G41" s="21">
        <v>3165911</v>
      </c>
      <c r="H41" s="21">
        <f t="shared" si="29"/>
        <v>-41488.040000000037</v>
      </c>
      <c r="I41" s="21">
        <v>3030640</v>
      </c>
      <c r="J41" s="44">
        <f t="shared" si="30"/>
        <v>-3.0016089755018304E-2</v>
      </c>
      <c r="K41" s="44">
        <f t="shared" si="31"/>
        <v>-4.2727353990683885E-2</v>
      </c>
    </row>
    <row r="42" spans="1:11" x14ac:dyDescent="0.2">
      <c r="A42" s="22" t="s">
        <v>57</v>
      </c>
      <c r="B42" s="23" t="s">
        <v>20</v>
      </c>
      <c r="C42" s="21">
        <v>-1323394.28</v>
      </c>
      <c r="D42" s="21">
        <v>-686761.92</v>
      </c>
      <c r="E42" s="21"/>
      <c r="F42" s="21">
        <f>D42+E42</f>
        <v>-686761.92</v>
      </c>
      <c r="G42" s="21">
        <v>-1358000</v>
      </c>
      <c r="H42" s="21">
        <f t="shared" si="29"/>
        <v>671238.08</v>
      </c>
      <c r="I42" s="21">
        <v>-685290</v>
      </c>
      <c r="J42" s="44">
        <f t="shared" si="30"/>
        <v>-2.1432755036855304E-3</v>
      </c>
      <c r="K42" s="44">
        <f t="shared" si="31"/>
        <v>-0.4953681885125184</v>
      </c>
    </row>
    <row r="43" spans="1:11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A44" s="25"/>
      <c r="B44" s="29" t="s">
        <v>37</v>
      </c>
      <c r="C44" s="21">
        <f t="shared" ref="C44" si="32">SUM(C45:C46)</f>
        <v>23882991.919999998</v>
      </c>
      <c r="D44" s="21">
        <f t="shared" ref="D44:G44" si="33">SUM(D45:D46)</f>
        <v>24185992.439999998</v>
      </c>
      <c r="E44" s="21">
        <f t="shared" si="33"/>
        <v>-321014.96000000002</v>
      </c>
      <c r="F44" s="21">
        <f t="shared" si="33"/>
        <v>23864977.479999997</v>
      </c>
      <c r="G44" s="21">
        <f t="shared" si="33"/>
        <v>24211002</v>
      </c>
      <c r="H44" s="21">
        <f t="shared" ref="H44" si="34">SUM(H45:H46)</f>
        <v>-346024.52000000142</v>
      </c>
      <c r="I44" s="21">
        <f t="shared" ref="I44" si="35">SUM(I45:I46)</f>
        <v>23894182</v>
      </c>
      <c r="J44" s="44">
        <f t="shared" ref="J44:J46" si="36">(I44-F44)/F44</f>
        <v>1.2237396839983644E-3</v>
      </c>
      <c r="K44" s="44">
        <f t="shared" ref="K44:K46" si="37">(I44-G44)/G44</f>
        <v>-1.308578637100604E-2</v>
      </c>
    </row>
    <row r="45" spans="1:11" x14ac:dyDescent="0.2">
      <c r="A45" s="22" t="s">
        <v>58</v>
      </c>
      <c r="B45" s="23" t="s">
        <v>21</v>
      </c>
      <c r="C45" s="21">
        <v>8132426.7999999998</v>
      </c>
      <c r="D45" s="21">
        <v>7680940.0800000001</v>
      </c>
      <c r="E45" s="21">
        <v>-20000</v>
      </c>
      <c r="F45" s="21">
        <f>D45+E45</f>
        <v>7660940.0800000001</v>
      </c>
      <c r="G45" s="21">
        <v>8060000</v>
      </c>
      <c r="H45" s="21">
        <f t="shared" si="29"/>
        <v>-399059.91999999993</v>
      </c>
      <c r="I45" s="21">
        <v>7724232</v>
      </c>
      <c r="J45" s="44">
        <f t="shared" si="36"/>
        <v>8.2616388248790383E-3</v>
      </c>
      <c r="K45" s="44">
        <f t="shared" si="37"/>
        <v>-4.1658560794044668E-2</v>
      </c>
    </row>
    <row r="46" spans="1:11" x14ac:dyDescent="0.2">
      <c r="A46" s="22" t="s">
        <v>59</v>
      </c>
      <c r="B46" s="23" t="s">
        <v>22</v>
      </c>
      <c r="C46" s="21">
        <v>15750565.119999999</v>
      </c>
      <c r="D46" s="21">
        <v>16505052.359999999</v>
      </c>
      <c r="E46" s="21">
        <v>-301014.96000000002</v>
      </c>
      <c r="F46" s="21">
        <f>D46+E46</f>
        <v>16204037.399999999</v>
      </c>
      <c r="G46" s="21">
        <v>16151002</v>
      </c>
      <c r="H46" s="21">
        <f t="shared" si="29"/>
        <v>53035.39999999851</v>
      </c>
      <c r="I46" s="21">
        <v>16169950</v>
      </c>
      <c r="J46" s="44">
        <f t="shared" si="36"/>
        <v>-2.1036362209333405E-3</v>
      </c>
      <c r="K46" s="44">
        <f t="shared" si="37"/>
        <v>1.1731779861088494E-3</v>
      </c>
    </row>
    <row r="47" spans="1:11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2">
      <c r="A48" s="25"/>
      <c r="B48" s="29" t="s">
        <v>38</v>
      </c>
      <c r="C48" s="21">
        <f t="shared" ref="C48" si="38">SUM(C49:C50)</f>
        <v>3440398.5300000003</v>
      </c>
      <c r="D48" s="21">
        <f t="shared" ref="D48:G48" si="39">SUM(D49:D50)</f>
        <v>3598656.12</v>
      </c>
      <c r="E48" s="21">
        <f t="shared" si="39"/>
        <v>-78150.960000000006</v>
      </c>
      <c r="F48" s="21">
        <f t="shared" si="39"/>
        <v>3520505.16</v>
      </c>
      <c r="G48" s="21">
        <f t="shared" si="39"/>
        <v>3451700</v>
      </c>
      <c r="H48" s="21">
        <f t="shared" ref="H48" si="40">SUM(H49:H50)</f>
        <v>68805.160000000149</v>
      </c>
      <c r="I48" s="21">
        <f t="shared" ref="I48" si="41">SUM(I49:I50)</f>
        <v>3381127</v>
      </c>
      <c r="J48" s="44">
        <f t="shared" ref="J48:J49" si="42">(I48-F48)/F48</f>
        <v>-3.9590386511463072E-2</v>
      </c>
      <c r="K48" s="44">
        <f t="shared" ref="K48:K49" si="43">(I48-G48)/G48</f>
        <v>-2.044586725381696E-2</v>
      </c>
    </row>
    <row r="49" spans="1:11" x14ac:dyDescent="0.2">
      <c r="A49" s="22" t="s">
        <v>60</v>
      </c>
      <c r="B49" s="23" t="s">
        <v>23</v>
      </c>
      <c r="C49" s="21">
        <v>3440840.49</v>
      </c>
      <c r="D49" s="21">
        <v>3598656.12</v>
      </c>
      <c r="E49" s="21">
        <v>-78150.960000000006</v>
      </c>
      <c r="F49" s="21">
        <f>D49+E49</f>
        <v>3520505.16</v>
      </c>
      <c r="G49" s="21">
        <v>3451700</v>
      </c>
      <c r="H49" s="21">
        <f t="shared" si="29"/>
        <v>68805.160000000149</v>
      </c>
      <c r="I49" s="21">
        <v>3381127</v>
      </c>
      <c r="J49" s="44">
        <f t="shared" si="42"/>
        <v>-3.9590386511463072E-2</v>
      </c>
      <c r="K49" s="44">
        <f t="shared" si="43"/>
        <v>-2.044586725381696E-2</v>
      </c>
    </row>
    <row r="50" spans="1:11" x14ac:dyDescent="0.2">
      <c r="A50" s="22" t="s">
        <v>61</v>
      </c>
      <c r="B50" s="23" t="s">
        <v>24</v>
      </c>
      <c r="C50" s="21">
        <v>-441.96</v>
      </c>
      <c r="D50" s="21"/>
      <c r="E50" s="21"/>
      <c r="F50" s="21">
        <f>D50+E50</f>
        <v>0</v>
      </c>
      <c r="G50" s="21"/>
      <c r="H50" s="21">
        <f t="shared" si="29"/>
        <v>0</v>
      </c>
      <c r="I50" s="21"/>
      <c r="J50" s="44">
        <v>0</v>
      </c>
      <c r="K50" s="44">
        <v>0</v>
      </c>
    </row>
    <row r="51" spans="1:11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A52" s="25"/>
      <c r="B52" s="29" t="s">
        <v>25</v>
      </c>
      <c r="C52" s="21">
        <f t="shared" ref="C52" si="44">SUM(C53:C55)</f>
        <v>730</v>
      </c>
      <c r="D52" s="21">
        <f t="shared" ref="D52:G52" si="45">SUM(D53:D55)</f>
        <v>6999.96</v>
      </c>
      <c r="E52" s="21">
        <f t="shared" si="45"/>
        <v>0</v>
      </c>
      <c r="F52" s="21">
        <f t="shared" si="45"/>
        <v>6999.96</v>
      </c>
      <c r="G52" s="21">
        <f t="shared" si="45"/>
        <v>580</v>
      </c>
      <c r="H52" s="21">
        <f t="shared" ref="H52" si="46">SUM(H53:H55)</f>
        <v>6419.96</v>
      </c>
      <c r="I52" s="21">
        <f t="shared" ref="I52" si="47">SUM(I53:I55)</f>
        <v>0</v>
      </c>
      <c r="J52" s="44">
        <f t="shared" ref="J52:J54" si="48">(I52-F52)/F52</f>
        <v>-1</v>
      </c>
      <c r="K52" s="44">
        <f t="shared" ref="K52:K54" si="49">(I52-G52)/G52</f>
        <v>-1</v>
      </c>
    </row>
    <row r="53" spans="1:11" x14ac:dyDescent="0.2">
      <c r="A53" s="22" t="s">
        <v>62</v>
      </c>
      <c r="B53" s="23" t="s">
        <v>26</v>
      </c>
      <c r="C53" s="21">
        <v>610</v>
      </c>
      <c r="D53" s="21"/>
      <c r="E53" s="21"/>
      <c r="F53" s="21">
        <f>D53+E53</f>
        <v>0</v>
      </c>
      <c r="G53" s="21">
        <v>520</v>
      </c>
      <c r="H53" s="21">
        <f t="shared" si="29"/>
        <v>-520</v>
      </c>
      <c r="I53" s="21"/>
      <c r="J53" s="44">
        <v>0</v>
      </c>
      <c r="K53" s="44">
        <f t="shared" si="49"/>
        <v>-1</v>
      </c>
    </row>
    <row r="54" spans="1:11" x14ac:dyDescent="0.2">
      <c r="A54" s="22" t="s">
        <v>63</v>
      </c>
      <c r="B54" s="23" t="s">
        <v>27</v>
      </c>
      <c r="C54" s="21">
        <v>120</v>
      </c>
      <c r="D54" s="21">
        <v>6999.96</v>
      </c>
      <c r="E54" s="21"/>
      <c r="F54" s="21">
        <f>D54+E54</f>
        <v>6999.96</v>
      </c>
      <c r="G54" s="21">
        <v>60</v>
      </c>
      <c r="H54" s="21">
        <f t="shared" si="29"/>
        <v>6939.96</v>
      </c>
      <c r="I54" s="21"/>
      <c r="J54" s="44">
        <f t="shared" si="48"/>
        <v>-1</v>
      </c>
      <c r="K54" s="44">
        <f t="shared" si="49"/>
        <v>-1</v>
      </c>
    </row>
    <row r="55" spans="1:11" x14ac:dyDescent="0.2">
      <c r="A55" s="22" t="s">
        <v>64</v>
      </c>
      <c r="B55" s="23" t="s">
        <v>28</v>
      </c>
      <c r="C55" s="21"/>
      <c r="D55" s="21">
        <v>0</v>
      </c>
      <c r="E55" s="21"/>
      <c r="F55" s="21">
        <f>D55+E55</f>
        <v>0</v>
      </c>
      <c r="G55" s="21"/>
      <c r="H55" s="21">
        <f t="shared" si="29"/>
        <v>0</v>
      </c>
      <c r="I55" s="21"/>
      <c r="J55" s="44">
        <v>0</v>
      </c>
      <c r="K55" s="44">
        <v>0</v>
      </c>
    </row>
    <row r="56" spans="1:11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2">
      <c r="A57" s="25"/>
      <c r="B57" s="29" t="s">
        <v>29</v>
      </c>
      <c r="C57" s="21">
        <f t="shared" ref="C57" si="50">SUM(C58:C59)</f>
        <v>22332013.449999999</v>
      </c>
      <c r="D57" s="21">
        <f t="shared" ref="D57:G57" si="51">SUM(D58:D59)</f>
        <v>23277956.16</v>
      </c>
      <c r="E57" s="21">
        <f t="shared" si="51"/>
        <v>-150000</v>
      </c>
      <c r="F57" s="21">
        <f t="shared" si="51"/>
        <v>23127956.16</v>
      </c>
      <c r="G57" s="21">
        <f t="shared" si="51"/>
        <v>23208206</v>
      </c>
      <c r="H57" s="21">
        <f t="shared" ref="H57" si="52">SUM(H58:H59)</f>
        <v>-80249.840000001335</v>
      </c>
      <c r="I57" s="21">
        <f t="shared" ref="I57" si="53">SUM(I58:I59)</f>
        <v>22691751</v>
      </c>
      <c r="J57" s="44">
        <f t="shared" ref="J57:J59" si="54">(I57-F57)/F57</f>
        <v>-1.8860514823805345E-2</v>
      </c>
      <c r="K57" s="44">
        <f t="shared" ref="K57:K59" si="55">(I57-G57)/G57</f>
        <v>-2.2253120297191432E-2</v>
      </c>
    </row>
    <row r="58" spans="1:11" x14ac:dyDescent="0.2">
      <c r="A58" s="22" t="s">
        <v>65</v>
      </c>
      <c r="B58" s="23" t="s">
        <v>30</v>
      </c>
      <c r="C58" s="21">
        <v>22222018.329999998</v>
      </c>
      <c r="D58" s="21">
        <v>23164000.559999999</v>
      </c>
      <c r="E58" s="21">
        <v>-150000</v>
      </c>
      <c r="F58" s="21">
        <f>D58+E58</f>
        <v>23014000.559999999</v>
      </c>
      <c r="G58" s="21">
        <v>22837544</v>
      </c>
      <c r="H58" s="21">
        <f t="shared" si="29"/>
        <v>176456.55999999866</v>
      </c>
      <c r="I58" s="21">
        <v>22629111</v>
      </c>
      <c r="J58" s="44">
        <f t="shared" si="54"/>
        <v>-1.6724148372055079E-2</v>
      </c>
      <c r="K58" s="44">
        <f t="shared" si="55"/>
        <v>-9.1267694985064946E-3</v>
      </c>
    </row>
    <row r="59" spans="1:11" x14ac:dyDescent="0.2">
      <c r="A59" s="22" t="s">
        <v>66</v>
      </c>
      <c r="B59" s="23" t="s">
        <v>31</v>
      </c>
      <c r="C59" s="21">
        <v>109995.12</v>
      </c>
      <c r="D59" s="21">
        <v>113955.6</v>
      </c>
      <c r="E59" s="21"/>
      <c r="F59" s="21">
        <f>D59+E59</f>
        <v>113955.6</v>
      </c>
      <c r="G59" s="21">
        <v>370662</v>
      </c>
      <c r="H59" s="21">
        <f t="shared" si="29"/>
        <v>-256706.4</v>
      </c>
      <c r="I59" s="21">
        <v>62640</v>
      </c>
      <c r="J59" s="44">
        <f t="shared" si="54"/>
        <v>-0.45031222686730626</v>
      </c>
      <c r="K59" s="44">
        <f t="shared" si="55"/>
        <v>-0.83100506661055085</v>
      </c>
    </row>
    <row r="60" spans="1:11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1" ht="15" x14ac:dyDescent="0.25">
      <c r="A61" s="33"/>
      <c r="B61" s="27" t="s">
        <v>32</v>
      </c>
      <c r="C61" s="28">
        <f t="shared" ref="C61" si="56">C57+C52+C48+C44+C38</f>
        <v>113682455.16999999</v>
      </c>
      <c r="D61" s="28">
        <f t="shared" ref="D61:G61" si="57">D57+D52+D48+D44+D38</f>
        <v>113813109.95999999</v>
      </c>
      <c r="E61" s="28">
        <f t="shared" si="57"/>
        <v>-78151.400000000023</v>
      </c>
      <c r="F61" s="28">
        <f t="shared" si="57"/>
        <v>113734958.55999999</v>
      </c>
      <c r="G61" s="28">
        <f t="shared" si="57"/>
        <v>116422541</v>
      </c>
      <c r="H61" s="28">
        <f t="shared" ref="H61" si="58">F61-G61</f>
        <v>-2687582.4400000125</v>
      </c>
      <c r="I61" s="28">
        <f t="shared" ref="I61" si="59">I57+I52+I48+I44+I38</f>
        <v>112801549</v>
      </c>
      <c r="J61" s="45">
        <f t="shared" ref="J61" si="60">(I61-F61)/F61</f>
        <v>-8.2068835459026841E-3</v>
      </c>
      <c r="K61" s="45">
        <f t="shared" ref="K61" si="61">(I61-G61)/G61</f>
        <v>-3.1102155724293975E-2</v>
      </c>
    </row>
    <row r="62" spans="1:11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15" x14ac:dyDescent="0.25">
      <c r="A63" s="33"/>
      <c r="B63" s="27" t="s">
        <v>33</v>
      </c>
      <c r="C63" s="28">
        <f t="shared" ref="C63" si="62">C31+C33-C61</f>
        <v>-103325503.63999999</v>
      </c>
      <c r="D63" s="28">
        <f>D31-D61</f>
        <v>-103724369.39999999</v>
      </c>
      <c r="E63" s="28">
        <f t="shared" ref="E63:H63" si="63">E31-E61</f>
        <v>78151.400000000023</v>
      </c>
      <c r="F63" s="28">
        <f t="shared" si="63"/>
        <v>-103646217.99999999</v>
      </c>
      <c r="G63" s="28">
        <f t="shared" si="63"/>
        <v>-103914874</v>
      </c>
      <c r="H63" s="28">
        <f t="shared" si="63"/>
        <v>268656.00000001118</v>
      </c>
      <c r="I63" s="28">
        <f t="shared" ref="I63" si="64">I31+I33-I61</f>
        <v>-102538195</v>
      </c>
      <c r="J63" s="45">
        <f t="shared" ref="J63" si="65">(I63-F63)/F63</f>
        <v>-1.0690433489816149E-2</v>
      </c>
      <c r="K63" s="45">
        <f t="shared" ref="K63" si="66">(I63-G63)/G63</f>
        <v>-1.3248141935869547E-2</v>
      </c>
    </row>
    <row r="64" spans="1:11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</row>
    <row r="66" spans="10:11" x14ac:dyDescent="0.2">
      <c r="J66" s="41"/>
      <c r="K66" s="41"/>
    </row>
  </sheetData>
  <pageMargins left="0.78740157480314965" right="0.78740157480314965" top="0.78740157480314965" bottom="0.78740157480314965" header="0.51181102362204722" footer="0.51181102362204722"/>
  <pageSetup paperSize="9" scale="52" orientation="portrait" r:id="rId1"/>
  <headerFooter alignWithMargins="0"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pageSetUpPr fitToPage="1"/>
  </sheetPr>
  <dimension ref="A1:K66"/>
  <sheetViews>
    <sheetView zoomScale="81" zoomScaleNormal="81" workbookViewId="0">
      <pane xSplit="2" ySplit="5" topLeftCell="C6" activePane="bottomRight" state="frozen"/>
      <selection activeCell="H13" sqref="H13"/>
      <selection pane="topRight" activeCell="H13" sqref="H13"/>
      <selection pane="bottomLeft" activeCell="H13" sqref="H13"/>
      <selection pane="bottomRight" activeCell="I42" sqref="I42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1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1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1" x14ac:dyDescent="0.2">
      <c r="A4" s="12"/>
      <c r="B4" s="6" t="s">
        <v>101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1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1" x14ac:dyDescent="0.2">
      <c r="A8" s="20"/>
      <c r="B8" s="3" t="s">
        <v>35</v>
      </c>
      <c r="C8" s="21">
        <f t="shared" ref="C8" si="0">SUM(C9:C12)</f>
        <v>375777.25</v>
      </c>
      <c r="D8" s="21">
        <f t="shared" ref="D8:G8" si="1">SUM(D9:D12)</f>
        <v>380579.04</v>
      </c>
      <c r="E8" s="21">
        <f t="shared" si="1"/>
        <v>0</v>
      </c>
      <c r="F8" s="21">
        <f t="shared" si="1"/>
        <v>380579.04</v>
      </c>
      <c r="G8" s="21">
        <f t="shared" si="1"/>
        <v>353500</v>
      </c>
      <c r="H8" s="21">
        <f>F8-G8</f>
        <v>27079.039999999979</v>
      </c>
      <c r="I8" s="21">
        <f t="shared" ref="I8" si="2">SUM(I9:I12)</f>
        <v>370250</v>
      </c>
      <c r="J8" s="44">
        <f>(I8-F8)/F8</f>
        <v>-2.7140328064309532E-2</v>
      </c>
      <c r="K8" s="44">
        <f>(I8-G8)/G8</f>
        <v>4.7383309759547382E-2</v>
      </c>
    </row>
    <row r="9" spans="1:11" x14ac:dyDescent="0.2">
      <c r="A9" s="22" t="s">
        <v>39</v>
      </c>
      <c r="B9" s="23" t="s">
        <v>1</v>
      </c>
      <c r="C9" s="21">
        <v>3943.44</v>
      </c>
      <c r="D9" s="21">
        <v>3929.04</v>
      </c>
      <c r="E9" s="21"/>
      <c r="F9" s="21">
        <f>D9+E9</f>
        <v>3929.04</v>
      </c>
      <c r="G9" s="21">
        <v>3500</v>
      </c>
      <c r="H9" s="21">
        <f t="shared" ref="H9:H29" si="3">F9-G9</f>
        <v>429.03999999999996</v>
      </c>
      <c r="I9" s="21">
        <v>3250</v>
      </c>
      <c r="J9" s="44">
        <f t="shared" ref="J9:J26" si="4">(I9-F9)/F9</f>
        <v>-0.17282593203428825</v>
      </c>
      <c r="K9" s="44">
        <f t="shared" ref="K9:K29" si="5">(I9-G9)/G9</f>
        <v>-7.1428571428571425E-2</v>
      </c>
    </row>
    <row r="10" spans="1:11" x14ac:dyDescent="0.2">
      <c r="A10" s="22" t="s">
        <v>40</v>
      </c>
      <c r="B10" s="23" t="s">
        <v>41</v>
      </c>
      <c r="C10" s="21"/>
      <c r="D10" s="21">
        <v>0</v>
      </c>
      <c r="E10" s="21"/>
      <c r="F10" s="21">
        <f>D10+E10</f>
        <v>0</v>
      </c>
      <c r="G10" s="21"/>
      <c r="H10" s="21">
        <f t="shared" si="3"/>
        <v>0</v>
      </c>
      <c r="I10" s="21"/>
      <c r="J10" s="44">
        <v>0</v>
      </c>
      <c r="K10" s="44">
        <v>0</v>
      </c>
    </row>
    <row r="11" spans="1:11" x14ac:dyDescent="0.2">
      <c r="A11" s="22" t="s">
        <v>42</v>
      </c>
      <c r="B11" s="23" t="s">
        <v>2</v>
      </c>
      <c r="C11" s="21">
        <v>358910.88</v>
      </c>
      <c r="D11" s="21">
        <v>369150</v>
      </c>
      <c r="E11" s="21"/>
      <c r="F11" s="21">
        <f>D11+E11</f>
        <v>369150</v>
      </c>
      <c r="G11" s="21">
        <v>330000</v>
      </c>
      <c r="H11" s="21">
        <f t="shared" si="3"/>
        <v>39150</v>
      </c>
      <c r="I11" s="21">
        <v>352000</v>
      </c>
      <c r="J11" s="44">
        <f t="shared" si="4"/>
        <v>-4.6458079371529189E-2</v>
      </c>
      <c r="K11" s="44">
        <f t="shared" si="5"/>
        <v>6.6666666666666666E-2</v>
      </c>
    </row>
    <row r="12" spans="1:11" x14ac:dyDescent="0.2">
      <c r="A12" s="22" t="s">
        <v>43</v>
      </c>
      <c r="B12" s="23" t="s">
        <v>3</v>
      </c>
      <c r="C12" s="21">
        <v>12922.93</v>
      </c>
      <c r="D12" s="21">
        <v>7500</v>
      </c>
      <c r="E12" s="21"/>
      <c r="F12" s="21">
        <f>D12+E12</f>
        <v>7500</v>
      </c>
      <c r="G12" s="21">
        <v>20000</v>
      </c>
      <c r="H12" s="21">
        <f t="shared" si="3"/>
        <v>-12500</v>
      </c>
      <c r="I12" s="21">
        <v>15000</v>
      </c>
      <c r="J12" s="44">
        <f t="shared" si="4"/>
        <v>1</v>
      </c>
      <c r="K12" s="44">
        <f t="shared" si="5"/>
        <v>-0.25</v>
      </c>
    </row>
    <row r="13" spans="1:11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">
      <c r="A14" s="25"/>
      <c r="B14" s="3" t="s">
        <v>4</v>
      </c>
      <c r="C14" s="21">
        <f t="shared" ref="C14" si="6">SUM(C15:C20)</f>
        <v>659265.57999999996</v>
      </c>
      <c r="D14" s="21">
        <f t="shared" ref="D14:G14" si="7">SUM(D15:D20)</f>
        <v>498500.04000000004</v>
      </c>
      <c r="E14" s="21">
        <f t="shared" si="7"/>
        <v>0</v>
      </c>
      <c r="F14" s="21">
        <f t="shared" si="7"/>
        <v>498500.04000000004</v>
      </c>
      <c r="G14" s="21">
        <f t="shared" si="7"/>
        <v>647500</v>
      </c>
      <c r="H14" s="21">
        <f t="shared" ref="H14" si="8">SUM(H15:H20)</f>
        <v>-148999.95999999996</v>
      </c>
      <c r="I14" s="21">
        <f t="shared" ref="I14" si="9">SUM(I15:I20)</f>
        <v>703500</v>
      </c>
      <c r="J14" s="44">
        <f t="shared" si="4"/>
        <v>0.4112335878649076</v>
      </c>
      <c r="K14" s="44">
        <f t="shared" si="5"/>
        <v>8.6486486486486491E-2</v>
      </c>
    </row>
    <row r="15" spans="1:11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10">D15+E15</f>
        <v>0</v>
      </c>
      <c r="G15" s="21"/>
      <c r="H15" s="21">
        <f t="shared" si="3"/>
        <v>0</v>
      </c>
      <c r="I15" s="21"/>
      <c r="J15" s="44">
        <v>0</v>
      </c>
      <c r="K15" s="44">
        <v>0</v>
      </c>
    </row>
    <row r="16" spans="1:11" x14ac:dyDescent="0.2">
      <c r="A16" s="22" t="s">
        <v>45</v>
      </c>
      <c r="B16" s="23" t="s">
        <v>6</v>
      </c>
      <c r="C16" s="21"/>
      <c r="D16" s="21"/>
      <c r="E16" s="21"/>
      <c r="F16" s="21">
        <f t="shared" si="10"/>
        <v>0</v>
      </c>
      <c r="G16" s="21"/>
      <c r="H16" s="21">
        <f t="shared" si="3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>
        <v>612811.57999999996</v>
      </c>
      <c r="D17" s="21">
        <v>450999.96</v>
      </c>
      <c r="E17" s="21"/>
      <c r="F17" s="21">
        <f t="shared" si="10"/>
        <v>450999.96</v>
      </c>
      <c r="G17" s="21">
        <v>600000</v>
      </c>
      <c r="H17" s="21">
        <f t="shared" si="3"/>
        <v>-149000.03999999998</v>
      </c>
      <c r="I17" s="21">
        <v>650000</v>
      </c>
      <c r="J17" s="44">
        <f t="shared" si="4"/>
        <v>0.44124181297044895</v>
      </c>
      <c r="K17" s="44">
        <f t="shared" si="5"/>
        <v>8.3333333333333329E-2</v>
      </c>
    </row>
    <row r="18" spans="1:11" x14ac:dyDescent="0.2">
      <c r="A18" s="22" t="s">
        <v>47</v>
      </c>
      <c r="B18" s="23" t="s">
        <v>8</v>
      </c>
      <c r="C18" s="21">
        <v>46454</v>
      </c>
      <c r="D18" s="21">
        <v>47500.08</v>
      </c>
      <c r="E18" s="21"/>
      <c r="F18" s="21">
        <f t="shared" si="10"/>
        <v>47500.08</v>
      </c>
      <c r="G18" s="21">
        <v>47500</v>
      </c>
      <c r="H18" s="21">
        <f t="shared" si="3"/>
        <v>8.000000000174623E-2</v>
      </c>
      <c r="I18" s="21">
        <v>53500</v>
      </c>
      <c r="J18" s="44">
        <f t="shared" si="4"/>
        <v>0.12631389252397043</v>
      </c>
      <c r="K18" s="44">
        <f t="shared" si="5"/>
        <v>0.12631578947368421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10"/>
        <v>0</v>
      </c>
      <c r="G19" s="21"/>
      <c r="H19" s="21">
        <f t="shared" si="3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/>
      <c r="D20" s="21"/>
      <c r="E20" s="21"/>
      <c r="F20" s="21">
        <f t="shared" si="10"/>
        <v>0</v>
      </c>
      <c r="G20" s="21"/>
      <c r="H20" s="21">
        <f t="shared" si="3"/>
        <v>0</v>
      </c>
      <c r="I20" s="21"/>
      <c r="J20" s="44">
        <v>0</v>
      </c>
      <c r="K20" s="44">
        <v>0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" si="11">SUM(C23)</f>
        <v>101895.05</v>
      </c>
      <c r="D22" s="21">
        <f t="shared" ref="D22:H22" si="12">SUM(D23)</f>
        <v>90688.08</v>
      </c>
      <c r="E22" s="21">
        <f t="shared" si="12"/>
        <v>0</v>
      </c>
      <c r="F22" s="21">
        <f t="shared" si="12"/>
        <v>90688.08</v>
      </c>
      <c r="G22" s="21">
        <f t="shared" si="12"/>
        <v>175826</v>
      </c>
      <c r="H22" s="21">
        <f t="shared" si="12"/>
        <v>-85137.919999999998</v>
      </c>
      <c r="I22" s="21">
        <f t="shared" ref="I22" si="13">SUM(I23)</f>
        <v>89750</v>
      </c>
      <c r="J22" s="44">
        <f t="shared" si="4"/>
        <v>-1.0344027572311617E-2</v>
      </c>
      <c r="K22" s="44">
        <f t="shared" si="5"/>
        <v>-0.48955217089622693</v>
      </c>
    </row>
    <row r="23" spans="1:11" x14ac:dyDescent="0.2">
      <c r="A23" s="22" t="s">
        <v>50</v>
      </c>
      <c r="B23" s="23" t="s">
        <v>11</v>
      </c>
      <c r="C23" s="21">
        <v>101895.05</v>
      </c>
      <c r="D23" s="21">
        <v>90688.08</v>
      </c>
      <c r="E23" s="21"/>
      <c r="F23" s="21">
        <f>D23+E23</f>
        <v>90688.08</v>
      </c>
      <c r="G23" s="21">
        <v>175826</v>
      </c>
      <c r="H23" s="21">
        <f t="shared" si="3"/>
        <v>-85137.919999999998</v>
      </c>
      <c r="I23" s="21">
        <v>89750</v>
      </c>
      <c r="J23" s="44">
        <f t="shared" si="4"/>
        <v>-1.0344027572311617E-2</v>
      </c>
      <c r="K23" s="44">
        <f t="shared" si="5"/>
        <v>-0.48955217089622693</v>
      </c>
    </row>
    <row r="24" spans="1:1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">
      <c r="A25" s="25"/>
      <c r="B25" s="3" t="s">
        <v>12</v>
      </c>
      <c r="C25" s="21">
        <f t="shared" ref="C25" si="14">SUM(C26)</f>
        <v>1929.74</v>
      </c>
      <c r="D25" s="21">
        <f t="shared" ref="D25:H25" si="15">SUM(D26)</f>
        <v>2070.12</v>
      </c>
      <c r="E25" s="21">
        <f t="shared" si="15"/>
        <v>0</v>
      </c>
      <c r="F25" s="21">
        <f t="shared" si="15"/>
        <v>2070.12</v>
      </c>
      <c r="G25" s="21">
        <f t="shared" si="15"/>
        <v>2070</v>
      </c>
      <c r="H25" s="21">
        <f t="shared" si="15"/>
        <v>0.11999999999989086</v>
      </c>
      <c r="I25" s="21">
        <f t="shared" ref="I25" si="16">SUM(I26)</f>
        <v>1170</v>
      </c>
      <c r="J25" s="44">
        <f t="shared" si="4"/>
        <v>-0.4348153730218538</v>
      </c>
      <c r="K25" s="44">
        <f t="shared" si="5"/>
        <v>-0.43478260869565216</v>
      </c>
    </row>
    <row r="26" spans="1:11" x14ac:dyDescent="0.2">
      <c r="A26" s="22" t="s">
        <v>51</v>
      </c>
      <c r="B26" s="23" t="s">
        <v>12</v>
      </c>
      <c r="C26" s="21">
        <v>1929.74</v>
      </c>
      <c r="D26" s="21">
        <v>2070.12</v>
      </c>
      <c r="E26" s="21"/>
      <c r="F26" s="21">
        <f>D26+E26</f>
        <v>2070.12</v>
      </c>
      <c r="G26" s="21">
        <v>2070</v>
      </c>
      <c r="H26" s="21">
        <f t="shared" si="3"/>
        <v>0.11999999999989086</v>
      </c>
      <c r="I26" s="21">
        <v>1170</v>
      </c>
      <c r="J26" s="44">
        <f t="shared" si="4"/>
        <v>-0.4348153730218538</v>
      </c>
      <c r="K26" s="44">
        <f t="shared" si="5"/>
        <v>-0.43478260869565216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" si="17">SUM(C29)</f>
        <v>1395</v>
      </c>
      <c r="D28" s="21">
        <f t="shared" ref="D28:H28" si="18">SUM(D29)</f>
        <v>0</v>
      </c>
      <c r="E28" s="21">
        <f t="shared" si="18"/>
        <v>0</v>
      </c>
      <c r="F28" s="21">
        <f t="shared" si="18"/>
        <v>0</v>
      </c>
      <c r="G28" s="21">
        <f t="shared" si="18"/>
        <v>500</v>
      </c>
      <c r="H28" s="21">
        <f t="shared" si="18"/>
        <v>-500</v>
      </c>
      <c r="I28" s="21">
        <f t="shared" ref="I28" si="19">SUM(I29)</f>
        <v>0</v>
      </c>
      <c r="J28" s="44">
        <v>0</v>
      </c>
      <c r="K28" s="44">
        <f t="shared" si="5"/>
        <v>-1</v>
      </c>
    </row>
    <row r="29" spans="1:11" x14ac:dyDescent="0.2">
      <c r="A29" s="22" t="s">
        <v>52</v>
      </c>
      <c r="B29" s="23" t="s">
        <v>13</v>
      </c>
      <c r="C29" s="21">
        <v>1395</v>
      </c>
      <c r="D29" s="21"/>
      <c r="E29" s="21"/>
      <c r="F29" s="21">
        <f>D29+E29</f>
        <v>0</v>
      </c>
      <c r="G29" s="21">
        <v>500</v>
      </c>
      <c r="H29" s="21">
        <f t="shared" si="3"/>
        <v>-500</v>
      </c>
      <c r="I29" s="21"/>
      <c r="J29" s="44">
        <v>0</v>
      </c>
      <c r="K29" s="44">
        <f t="shared" si="5"/>
        <v>-1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" si="20">C28+C25+C22+C14+C8</f>
        <v>1140262.6200000001</v>
      </c>
      <c r="D31" s="28">
        <f t="shared" ref="D31:G31" si="21">D28+D25+D22+D14+D8</f>
        <v>971837.28</v>
      </c>
      <c r="E31" s="28">
        <f t="shared" si="21"/>
        <v>0</v>
      </c>
      <c r="F31" s="28">
        <f t="shared" si="21"/>
        <v>971837.28</v>
      </c>
      <c r="G31" s="28">
        <f t="shared" si="21"/>
        <v>1179396</v>
      </c>
      <c r="H31" s="28">
        <f t="shared" ref="H31" si="22">F31-G31</f>
        <v>-207558.71999999997</v>
      </c>
      <c r="I31" s="28">
        <f t="shared" ref="I31" si="23">I28+I25+I22+I14+I8</f>
        <v>1164670</v>
      </c>
      <c r="J31" s="45">
        <f t="shared" ref="J31" si="24">(I31-F31)/F31</f>
        <v>0.19842078912634425</v>
      </c>
      <c r="K31" s="45">
        <f t="shared" ref="K31" si="25">(I31-G31)/G31</f>
        <v>-1.2486052182642642E-2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5"/>
      <c r="B33" s="3" t="s">
        <v>15</v>
      </c>
      <c r="C33" s="21">
        <f t="shared" ref="C33" si="26">SUM(C34)</f>
        <v>0</v>
      </c>
      <c r="D33" s="21">
        <f t="shared" ref="D33:G33" si="27">SUM(D34)</f>
        <v>0</v>
      </c>
      <c r="E33" s="21">
        <f t="shared" si="27"/>
        <v>0</v>
      </c>
      <c r="F33" s="21">
        <f t="shared" si="27"/>
        <v>0</v>
      </c>
      <c r="G33" s="21">
        <f t="shared" si="27"/>
        <v>0</v>
      </c>
      <c r="H33" s="21">
        <f>IF(G33=0,0,G33-F33)</f>
        <v>0</v>
      </c>
      <c r="I33" s="21">
        <f t="shared" ref="I33" si="28">SUM(I34)</f>
        <v>0</v>
      </c>
      <c r="J33" s="21">
        <v>0</v>
      </c>
      <c r="K33" s="21">
        <v>0</v>
      </c>
    </row>
    <row r="34" spans="1:11" x14ac:dyDescent="0.2">
      <c r="A34" s="22" t="s">
        <v>53</v>
      </c>
      <c r="B34" s="23" t="s">
        <v>15</v>
      </c>
      <c r="C34" s="21"/>
      <c r="D34" s="21">
        <v>0</v>
      </c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1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1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25"/>
      <c r="B38" s="29" t="s">
        <v>36</v>
      </c>
      <c r="C38" s="21">
        <f>SUM(C39:C42)</f>
        <v>8932745.5500000007</v>
      </c>
      <c r="D38" s="21">
        <f>SUM(D39:D42)</f>
        <v>8949007.3199999984</v>
      </c>
      <c r="E38" s="21">
        <f>SUM(E39:E42)</f>
        <v>0.12</v>
      </c>
      <c r="F38" s="21">
        <f>SUM(F39:F42)</f>
        <v>8949007.4399999995</v>
      </c>
      <c r="G38" s="21">
        <f>SUM(G39:G42)</f>
        <v>9230688</v>
      </c>
      <c r="H38" s="21">
        <f t="shared" ref="H38:H59" si="29">F38-G38</f>
        <v>-281680.56000000052</v>
      </c>
      <c r="I38" s="21">
        <f>SUM(I39:I42)</f>
        <v>8974703</v>
      </c>
      <c r="J38" s="44">
        <f t="shared" ref="J38:J42" si="30">(I38-F38)/F38</f>
        <v>2.8713307226840928E-3</v>
      </c>
      <c r="K38" s="44">
        <f t="shared" ref="K38:K42" si="31">(I38-G38)/G38</f>
        <v>-2.7731952374514229E-2</v>
      </c>
    </row>
    <row r="39" spans="1:11" x14ac:dyDescent="0.2">
      <c r="A39" s="22" t="s">
        <v>54</v>
      </c>
      <c r="B39" s="23" t="s">
        <v>17</v>
      </c>
      <c r="C39" s="21">
        <v>7414029.5800000001</v>
      </c>
      <c r="D39" s="21">
        <v>7331402.8799999999</v>
      </c>
      <c r="E39" s="21">
        <v>0.12</v>
      </c>
      <c r="F39" s="21">
        <f>D39+E39</f>
        <v>7331403</v>
      </c>
      <c r="G39" s="21">
        <v>7562049</v>
      </c>
      <c r="H39" s="21">
        <f t="shared" si="29"/>
        <v>-230646</v>
      </c>
      <c r="I39" s="21">
        <v>7304190</v>
      </c>
      <c r="J39" s="44">
        <f t="shared" si="30"/>
        <v>-3.7118406940663336E-3</v>
      </c>
      <c r="K39" s="44">
        <f t="shared" si="31"/>
        <v>-3.4099091397053895E-2</v>
      </c>
    </row>
    <row r="40" spans="1:11" x14ac:dyDescent="0.2">
      <c r="A40" s="22" t="s">
        <v>55</v>
      </c>
      <c r="B40" s="23" t="s">
        <v>18</v>
      </c>
      <c r="C40" s="21">
        <v>1277232.43</v>
      </c>
      <c r="D40" s="21">
        <v>1264176.1200000001</v>
      </c>
      <c r="E40" s="21"/>
      <c r="F40" s="21">
        <f>D40+E40</f>
        <v>1264176.1200000001</v>
      </c>
      <c r="G40" s="21">
        <v>1397743</v>
      </c>
      <c r="H40" s="21">
        <f t="shared" si="29"/>
        <v>-133566.87999999989</v>
      </c>
      <c r="I40" s="21">
        <v>1335553</v>
      </c>
      <c r="J40" s="44">
        <f t="shared" si="30"/>
        <v>5.646118358888149E-2</v>
      </c>
      <c r="K40" s="44">
        <f t="shared" si="31"/>
        <v>-4.4493157898125767E-2</v>
      </c>
    </row>
    <row r="41" spans="1:11" x14ac:dyDescent="0.2">
      <c r="A41" s="22" t="s">
        <v>56</v>
      </c>
      <c r="B41" s="23" t="s">
        <v>19</v>
      </c>
      <c r="C41" s="21">
        <v>448521.15</v>
      </c>
      <c r="D41" s="21">
        <v>442634.28</v>
      </c>
      <c r="E41" s="21"/>
      <c r="F41" s="21">
        <f>D41+E41</f>
        <v>442634.28</v>
      </c>
      <c r="G41" s="21">
        <v>447896</v>
      </c>
      <c r="H41" s="21">
        <f t="shared" si="29"/>
        <v>-5261.7199999999721</v>
      </c>
      <c r="I41" s="21">
        <v>433870</v>
      </c>
      <c r="J41" s="44">
        <f t="shared" si="30"/>
        <v>-1.9800273941729112E-2</v>
      </c>
      <c r="K41" s="44">
        <f t="shared" si="31"/>
        <v>-3.1315305338739351E-2</v>
      </c>
    </row>
    <row r="42" spans="1:11" x14ac:dyDescent="0.2">
      <c r="A42" s="22" t="s">
        <v>57</v>
      </c>
      <c r="B42" s="23" t="s">
        <v>20</v>
      </c>
      <c r="C42" s="21">
        <v>-207037.61</v>
      </c>
      <c r="D42" s="21">
        <v>-89205.96</v>
      </c>
      <c r="E42" s="21"/>
      <c r="F42" s="21">
        <f>D42+E42</f>
        <v>-89205.96</v>
      </c>
      <c r="G42" s="21">
        <v>-177000</v>
      </c>
      <c r="H42" s="21">
        <f t="shared" si="29"/>
        <v>87794.04</v>
      </c>
      <c r="I42" s="21">
        <v>-98910</v>
      </c>
      <c r="J42" s="44">
        <f t="shared" si="30"/>
        <v>0.10878241767702508</v>
      </c>
      <c r="K42" s="44">
        <f t="shared" si="31"/>
        <v>-0.44118644067796609</v>
      </c>
    </row>
    <row r="43" spans="1:11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A44" s="25"/>
      <c r="B44" s="29" t="s">
        <v>37</v>
      </c>
      <c r="C44" s="21">
        <f t="shared" ref="C44" si="32">SUM(C45:C46)</f>
        <v>1892814.39</v>
      </c>
      <c r="D44" s="21">
        <f t="shared" ref="D44:G44" si="33">SUM(D45:D46)</f>
        <v>2023125.36</v>
      </c>
      <c r="E44" s="21">
        <f t="shared" si="33"/>
        <v>0</v>
      </c>
      <c r="F44" s="21">
        <f t="shared" si="33"/>
        <v>2023125.36</v>
      </c>
      <c r="G44" s="21">
        <f t="shared" si="33"/>
        <v>1996110</v>
      </c>
      <c r="H44" s="21">
        <f t="shared" ref="H44" si="34">SUM(H45:H46)</f>
        <v>27015.360000000102</v>
      </c>
      <c r="I44" s="21">
        <f t="shared" ref="I44" si="35">SUM(I45:I46)</f>
        <v>2108181</v>
      </c>
      <c r="J44" s="44">
        <f t="shared" ref="J44:J46" si="36">(I44-F44)/F44</f>
        <v>4.2041705215933776E-2</v>
      </c>
      <c r="K44" s="44">
        <f t="shared" ref="K44:K46" si="37">(I44-G44)/G44</f>
        <v>5.6144701444309178E-2</v>
      </c>
    </row>
    <row r="45" spans="1:11" x14ac:dyDescent="0.2">
      <c r="A45" s="22" t="s">
        <v>58</v>
      </c>
      <c r="B45" s="23" t="s">
        <v>21</v>
      </c>
      <c r="C45" s="21"/>
      <c r="D45" s="21"/>
      <c r="E45" s="21"/>
      <c r="F45" s="21">
        <f>D45+E45</f>
        <v>0</v>
      </c>
      <c r="G45" s="21"/>
      <c r="H45" s="21">
        <f t="shared" si="29"/>
        <v>0</v>
      </c>
      <c r="I45" s="21"/>
      <c r="J45" s="44">
        <v>0</v>
      </c>
      <c r="K45" s="44">
        <v>0</v>
      </c>
    </row>
    <row r="46" spans="1:11" x14ac:dyDescent="0.2">
      <c r="A46" s="22" t="s">
        <v>59</v>
      </c>
      <c r="B46" s="23" t="s">
        <v>22</v>
      </c>
      <c r="C46" s="21">
        <v>1892814.39</v>
      </c>
      <c r="D46" s="21">
        <v>2023125.36</v>
      </c>
      <c r="E46" s="21"/>
      <c r="F46" s="21">
        <f>D46+E46</f>
        <v>2023125.36</v>
      </c>
      <c r="G46" s="21">
        <v>1996110</v>
      </c>
      <c r="H46" s="21">
        <f t="shared" si="29"/>
        <v>27015.360000000102</v>
      </c>
      <c r="I46" s="21">
        <v>2108181</v>
      </c>
      <c r="J46" s="44">
        <f t="shared" si="36"/>
        <v>4.2041705215933776E-2</v>
      </c>
      <c r="K46" s="44">
        <f t="shared" si="37"/>
        <v>5.6144701444309178E-2</v>
      </c>
    </row>
    <row r="47" spans="1:11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2">
      <c r="A48" s="25"/>
      <c r="B48" s="29" t="s">
        <v>38</v>
      </c>
      <c r="C48" s="21">
        <f t="shared" ref="C48" si="38">SUM(C49:C50)</f>
        <v>365767.93</v>
      </c>
      <c r="D48" s="21">
        <f t="shared" ref="D48:G48" si="39">SUM(D49:D50)</f>
        <v>368566.56</v>
      </c>
      <c r="E48" s="21">
        <f t="shared" si="39"/>
        <v>-8003.88</v>
      </c>
      <c r="F48" s="21">
        <f t="shared" si="39"/>
        <v>360562.68</v>
      </c>
      <c r="G48" s="21">
        <f t="shared" si="39"/>
        <v>373971</v>
      </c>
      <c r="H48" s="21">
        <f t="shared" ref="H48" si="40">SUM(H49:H50)</f>
        <v>-13408.320000000007</v>
      </c>
      <c r="I48" s="21">
        <f t="shared" ref="I48" si="41">SUM(I49:I50)</f>
        <v>354431</v>
      </c>
      <c r="J48" s="44">
        <f t="shared" ref="J48:J49" si="42">(I48-F48)/F48</f>
        <v>-1.7005864278577011E-2</v>
      </c>
      <c r="K48" s="44">
        <f t="shared" ref="K48:K49" si="43">(I48-G48)/G48</f>
        <v>-5.2250040778563045E-2</v>
      </c>
    </row>
    <row r="49" spans="1:11" x14ac:dyDescent="0.2">
      <c r="A49" s="22" t="s">
        <v>60</v>
      </c>
      <c r="B49" s="23" t="s">
        <v>23</v>
      </c>
      <c r="C49" s="21">
        <v>365823.35</v>
      </c>
      <c r="D49" s="21">
        <v>368566.56</v>
      </c>
      <c r="E49" s="21">
        <v>-8003.88</v>
      </c>
      <c r="F49" s="21">
        <f>D49+E49</f>
        <v>360562.68</v>
      </c>
      <c r="G49" s="21">
        <v>373971</v>
      </c>
      <c r="H49" s="21">
        <f t="shared" si="29"/>
        <v>-13408.320000000007</v>
      </c>
      <c r="I49" s="21">
        <v>354431</v>
      </c>
      <c r="J49" s="44">
        <f t="shared" si="42"/>
        <v>-1.7005864278577011E-2</v>
      </c>
      <c r="K49" s="44">
        <f t="shared" si="43"/>
        <v>-5.2250040778563045E-2</v>
      </c>
    </row>
    <row r="50" spans="1:11" x14ac:dyDescent="0.2">
      <c r="A50" s="22" t="s">
        <v>61</v>
      </c>
      <c r="B50" s="23" t="s">
        <v>24</v>
      </c>
      <c r="C50" s="21">
        <v>-55.42</v>
      </c>
      <c r="D50" s="21"/>
      <c r="E50" s="21"/>
      <c r="F50" s="21">
        <f>D50+E50</f>
        <v>0</v>
      </c>
      <c r="G50" s="21"/>
      <c r="H50" s="21">
        <f t="shared" si="29"/>
        <v>0</v>
      </c>
      <c r="I50" s="21"/>
      <c r="J50" s="44">
        <v>0</v>
      </c>
      <c r="K50" s="44">
        <v>0</v>
      </c>
    </row>
    <row r="51" spans="1:11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A52" s="25"/>
      <c r="B52" s="29" t="s">
        <v>25</v>
      </c>
      <c r="C52" s="21">
        <f t="shared" ref="C52" si="44">SUM(C53:C55)</f>
        <v>0</v>
      </c>
      <c r="D52" s="21">
        <f t="shared" ref="D52:G52" si="45">SUM(D53:D55)</f>
        <v>0</v>
      </c>
      <c r="E52" s="21">
        <f t="shared" si="45"/>
        <v>0</v>
      </c>
      <c r="F52" s="21">
        <f t="shared" si="45"/>
        <v>0</v>
      </c>
      <c r="G52" s="21">
        <f t="shared" si="45"/>
        <v>0</v>
      </c>
      <c r="H52" s="21">
        <f t="shared" ref="H52" si="46">SUM(H53:H55)</f>
        <v>0</v>
      </c>
      <c r="I52" s="21">
        <f t="shared" ref="I52" si="47">SUM(I53:I55)</f>
        <v>0</v>
      </c>
      <c r="J52" s="44">
        <v>0</v>
      </c>
      <c r="K52" s="44">
        <v>0</v>
      </c>
    </row>
    <row r="53" spans="1:11" x14ac:dyDescent="0.2">
      <c r="A53" s="22" t="s">
        <v>62</v>
      </c>
      <c r="B53" s="23" t="s">
        <v>26</v>
      </c>
      <c r="C53" s="21"/>
      <c r="D53" s="21"/>
      <c r="E53" s="21"/>
      <c r="F53" s="21">
        <f>D53+E53</f>
        <v>0</v>
      </c>
      <c r="G53" s="21"/>
      <c r="H53" s="21">
        <f t="shared" si="29"/>
        <v>0</v>
      </c>
      <c r="I53" s="21"/>
      <c r="J53" s="44">
        <v>0</v>
      </c>
      <c r="K53" s="44">
        <v>0</v>
      </c>
    </row>
    <row r="54" spans="1:11" x14ac:dyDescent="0.2">
      <c r="A54" s="22" t="s">
        <v>63</v>
      </c>
      <c r="B54" s="23" t="s">
        <v>27</v>
      </c>
      <c r="C54" s="21"/>
      <c r="D54" s="21"/>
      <c r="E54" s="21"/>
      <c r="F54" s="21">
        <f>D54+E54</f>
        <v>0</v>
      </c>
      <c r="G54" s="21"/>
      <c r="H54" s="21">
        <f t="shared" si="29"/>
        <v>0</v>
      </c>
      <c r="I54" s="21"/>
      <c r="J54" s="44">
        <v>0</v>
      </c>
      <c r="K54" s="44">
        <v>0</v>
      </c>
    </row>
    <row r="55" spans="1:11" x14ac:dyDescent="0.2">
      <c r="A55" s="22" t="s">
        <v>64</v>
      </c>
      <c r="B55" s="23" t="s">
        <v>28</v>
      </c>
      <c r="C55" s="21"/>
      <c r="D55" s="21"/>
      <c r="E55" s="21"/>
      <c r="F55" s="21">
        <f>D55+E55</f>
        <v>0</v>
      </c>
      <c r="G55" s="21"/>
      <c r="H55" s="21">
        <f t="shared" si="29"/>
        <v>0</v>
      </c>
      <c r="I55" s="21"/>
      <c r="J55" s="44">
        <v>0</v>
      </c>
      <c r="K55" s="44">
        <v>0</v>
      </c>
    </row>
    <row r="56" spans="1:11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2">
      <c r="A57" s="25"/>
      <c r="B57" s="29" t="s">
        <v>29</v>
      </c>
      <c r="C57" s="21">
        <f t="shared" ref="C57" si="48">SUM(C58:C59)</f>
        <v>2823859.7</v>
      </c>
      <c r="D57" s="21">
        <f t="shared" ref="D57:G57" si="49">SUM(D58:D59)</f>
        <v>2778458.4000000004</v>
      </c>
      <c r="E57" s="21">
        <f t="shared" si="49"/>
        <v>0</v>
      </c>
      <c r="F57" s="21">
        <f t="shared" si="49"/>
        <v>2778458.4000000004</v>
      </c>
      <c r="G57" s="21">
        <f t="shared" si="49"/>
        <v>2717944</v>
      </c>
      <c r="H57" s="21">
        <f t="shared" ref="H57" si="50">SUM(H58:H59)</f>
        <v>60514.400000000154</v>
      </c>
      <c r="I57" s="21">
        <f t="shared" ref="I57" si="51">SUM(I58:I59)</f>
        <v>3096900</v>
      </c>
      <c r="J57" s="44">
        <f t="shared" ref="J57:J59" si="52">(I57-F57)/F57</f>
        <v>0.11461089358041121</v>
      </c>
      <c r="K57" s="44">
        <f t="shared" ref="K57:K59" si="53">(I57-G57)/G57</f>
        <v>0.13942744957217662</v>
      </c>
    </row>
    <row r="58" spans="1:11" x14ac:dyDescent="0.2">
      <c r="A58" s="22" t="s">
        <v>65</v>
      </c>
      <c r="B58" s="23" t="s">
        <v>30</v>
      </c>
      <c r="C58" s="21">
        <v>2803840.47</v>
      </c>
      <c r="D58" s="21">
        <v>2750645.16</v>
      </c>
      <c r="E58" s="21"/>
      <c r="F58" s="21">
        <f>D58+E58</f>
        <v>2750645.16</v>
      </c>
      <c r="G58" s="21">
        <v>2699412</v>
      </c>
      <c r="H58" s="21">
        <f t="shared" si="29"/>
        <v>51233.160000000149</v>
      </c>
      <c r="I58" s="21">
        <v>3077850</v>
      </c>
      <c r="J58" s="44">
        <f t="shared" si="52"/>
        <v>0.11895567074889435</v>
      </c>
      <c r="K58" s="44">
        <f t="shared" si="53"/>
        <v>0.14019275308845036</v>
      </c>
    </row>
    <row r="59" spans="1:11" x14ac:dyDescent="0.2">
      <c r="A59" s="22" t="s">
        <v>66</v>
      </c>
      <c r="B59" s="23" t="s">
        <v>31</v>
      </c>
      <c r="C59" s="21">
        <v>20019.23</v>
      </c>
      <c r="D59" s="21">
        <v>27813.24</v>
      </c>
      <c r="E59" s="21"/>
      <c r="F59" s="21">
        <f>D59+E59</f>
        <v>27813.24</v>
      </c>
      <c r="G59" s="21">
        <v>18532</v>
      </c>
      <c r="H59" s="21">
        <f t="shared" si="29"/>
        <v>9281.2400000000016</v>
      </c>
      <c r="I59" s="21">
        <v>19050</v>
      </c>
      <c r="J59" s="44">
        <f t="shared" si="52"/>
        <v>-0.31507440341362608</v>
      </c>
      <c r="K59" s="44">
        <f t="shared" si="53"/>
        <v>2.7951651197927908E-2</v>
      </c>
    </row>
    <row r="60" spans="1:11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1" ht="15" x14ac:dyDescent="0.25">
      <c r="A61" s="33"/>
      <c r="B61" s="27" t="s">
        <v>32</v>
      </c>
      <c r="C61" s="28">
        <f t="shared" ref="C61" si="54">C57+C52+C48+C44+C38</f>
        <v>14015187.57</v>
      </c>
      <c r="D61" s="28">
        <f t="shared" ref="D61:G61" si="55">D57+D52+D48+D44+D38</f>
        <v>14119157.639999999</v>
      </c>
      <c r="E61" s="28">
        <f t="shared" si="55"/>
        <v>-8003.76</v>
      </c>
      <c r="F61" s="28">
        <f t="shared" si="55"/>
        <v>14111153.879999999</v>
      </c>
      <c r="G61" s="28">
        <f t="shared" si="55"/>
        <v>14318713</v>
      </c>
      <c r="H61" s="28">
        <f t="shared" ref="H61" si="56">F61-G61</f>
        <v>-207559.12000000104</v>
      </c>
      <c r="I61" s="28">
        <f t="shared" ref="I61" si="57">I57+I52+I48+I44+I38</f>
        <v>14534215</v>
      </c>
      <c r="J61" s="45">
        <f t="shared" ref="J61" si="58">(I61-F61)/F61</f>
        <v>2.9980618424097369E-2</v>
      </c>
      <c r="K61" s="45">
        <f t="shared" ref="K61" si="59">(I61-G61)/G61</f>
        <v>1.5050374988310751E-2</v>
      </c>
    </row>
    <row r="62" spans="1:11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15" x14ac:dyDescent="0.25">
      <c r="A63" s="33"/>
      <c r="B63" s="27" t="s">
        <v>33</v>
      </c>
      <c r="C63" s="28">
        <f t="shared" ref="C63" si="60">C31+C33-C61</f>
        <v>-12874924.949999999</v>
      </c>
      <c r="D63" s="28">
        <f t="shared" ref="D63:G63" si="61">D31+D33-D61</f>
        <v>-13147320.359999999</v>
      </c>
      <c r="E63" s="28">
        <f t="shared" si="61"/>
        <v>8003.76</v>
      </c>
      <c r="F63" s="28">
        <f t="shared" si="61"/>
        <v>-13139316.6</v>
      </c>
      <c r="G63" s="28">
        <f t="shared" si="61"/>
        <v>-13139317</v>
      </c>
      <c r="H63" s="28">
        <f t="shared" ref="H63" si="62">H31-H61</f>
        <v>0.40000000107102096</v>
      </c>
      <c r="I63" s="28">
        <f t="shared" ref="I63" si="63">I31+I33-I61</f>
        <v>-13369545</v>
      </c>
      <c r="J63" s="45">
        <f t="shared" ref="J63" si="64">(I63-F63)/F63</f>
        <v>1.75220985237543E-2</v>
      </c>
      <c r="K63" s="45">
        <f t="shared" ref="K63" si="65">(I63-G63)/G63</f>
        <v>1.7522067547346639E-2</v>
      </c>
    </row>
    <row r="64" spans="1:11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</row>
    <row r="66" spans="10:11" x14ac:dyDescent="0.2">
      <c r="J66" s="41"/>
      <c r="K66" s="41"/>
    </row>
  </sheetData>
  <pageMargins left="0.78740157480314965" right="0.78740157480314965" top="0.78740157480314965" bottom="0.78740157480314965" header="0.51181102362204722" footer="0.51181102362204722"/>
  <pageSetup paperSize="9" scale="52" orientation="portrait" r:id="rId1"/>
  <headerFooter alignWithMargins="0"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>
    <pageSetUpPr fitToPage="1"/>
  </sheetPr>
  <dimension ref="A1:K66"/>
  <sheetViews>
    <sheetView zoomScale="81" zoomScaleNormal="81" workbookViewId="0">
      <pane xSplit="2" ySplit="5" topLeftCell="C6" activePane="bottomRight" state="frozen"/>
      <selection activeCell="H13" sqref="H13"/>
      <selection pane="topRight" activeCell="H13" sqref="H13"/>
      <selection pane="bottomLeft" activeCell="H13" sqref="H13"/>
      <selection pane="bottomRight" activeCell="C6" sqref="C6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1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1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1" x14ac:dyDescent="0.2">
      <c r="A4" s="12"/>
      <c r="B4" s="6" t="s">
        <v>102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1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1" x14ac:dyDescent="0.2">
      <c r="A8" s="20"/>
      <c r="B8" s="3" t="s">
        <v>35</v>
      </c>
      <c r="C8" s="21">
        <f t="shared" ref="C8" si="0">SUM(C9:C12)</f>
        <v>50305.61</v>
      </c>
      <c r="D8" s="21">
        <f t="shared" ref="D8:G8" si="1">SUM(D9:D12)</f>
        <v>30599.88</v>
      </c>
      <c r="E8" s="21">
        <f t="shared" si="1"/>
        <v>0</v>
      </c>
      <c r="F8" s="21">
        <f t="shared" si="1"/>
        <v>30599.88</v>
      </c>
      <c r="G8" s="21">
        <f t="shared" si="1"/>
        <v>40420</v>
      </c>
      <c r="H8" s="21">
        <f>F8-G8</f>
        <v>-9820.119999999999</v>
      </c>
      <c r="I8" s="21">
        <f t="shared" ref="I8" si="2">SUM(I9:I12)</f>
        <v>34400</v>
      </c>
      <c r="J8" s="44">
        <f>(I8-F8)/F8</f>
        <v>0.12418741511404616</v>
      </c>
      <c r="K8" s="44">
        <f>(I8-G8)/G8</f>
        <v>-0.14893617021276595</v>
      </c>
    </row>
    <row r="9" spans="1:11" x14ac:dyDescent="0.2">
      <c r="A9" s="22" t="s">
        <v>39</v>
      </c>
      <c r="B9" s="23" t="s">
        <v>1</v>
      </c>
      <c r="C9" s="21">
        <v>9270.42</v>
      </c>
      <c r="D9" s="21">
        <v>599.88</v>
      </c>
      <c r="E9" s="21"/>
      <c r="F9" s="21">
        <f>D9+E9</f>
        <v>599.88</v>
      </c>
      <c r="G9" s="21">
        <v>9300</v>
      </c>
      <c r="H9" s="21">
        <f t="shared" ref="H9:H29" si="3">F9-G9</f>
        <v>-8700.1200000000008</v>
      </c>
      <c r="I9" s="21">
        <v>9200</v>
      </c>
      <c r="J9" s="44">
        <f t="shared" ref="J9:J26" si="4">(I9-F9)/F9</f>
        <v>14.336400613456027</v>
      </c>
      <c r="K9" s="44">
        <f t="shared" ref="K9:K29" si="5">(I9-G9)/G9</f>
        <v>-1.0752688172043012E-2</v>
      </c>
    </row>
    <row r="10" spans="1:11" x14ac:dyDescent="0.2">
      <c r="A10" s="22" t="s">
        <v>40</v>
      </c>
      <c r="B10" s="23" t="s">
        <v>41</v>
      </c>
      <c r="C10" s="21"/>
      <c r="D10" s="21">
        <v>0</v>
      </c>
      <c r="E10" s="21"/>
      <c r="F10" s="21">
        <f>D10+E10</f>
        <v>0</v>
      </c>
      <c r="G10" s="21"/>
      <c r="H10" s="21">
        <f t="shared" si="3"/>
        <v>0</v>
      </c>
      <c r="I10" s="21"/>
      <c r="J10" s="44">
        <v>0</v>
      </c>
      <c r="K10" s="44">
        <v>0</v>
      </c>
    </row>
    <row r="11" spans="1:11" x14ac:dyDescent="0.2">
      <c r="A11" s="22" t="s">
        <v>42</v>
      </c>
      <c r="B11" s="23" t="s">
        <v>2</v>
      </c>
      <c r="C11" s="21">
        <v>40729.360000000001</v>
      </c>
      <c r="D11" s="21">
        <v>30000</v>
      </c>
      <c r="E11" s="21"/>
      <c r="F11" s="21">
        <f>D11+E11</f>
        <v>30000</v>
      </c>
      <c r="G11" s="21">
        <v>30000</v>
      </c>
      <c r="H11" s="21">
        <f t="shared" si="3"/>
        <v>0</v>
      </c>
      <c r="I11" s="21">
        <v>25000</v>
      </c>
      <c r="J11" s="44">
        <f t="shared" si="4"/>
        <v>-0.16666666666666666</v>
      </c>
      <c r="K11" s="44">
        <f t="shared" si="5"/>
        <v>-0.16666666666666666</v>
      </c>
    </row>
    <row r="12" spans="1:11" x14ac:dyDescent="0.2">
      <c r="A12" s="22" t="s">
        <v>43</v>
      </c>
      <c r="B12" s="23" t="s">
        <v>3</v>
      </c>
      <c r="C12" s="21">
        <v>305.83</v>
      </c>
      <c r="D12" s="21"/>
      <c r="E12" s="21"/>
      <c r="F12" s="21">
        <f>D12+E12</f>
        <v>0</v>
      </c>
      <c r="G12" s="21">
        <v>1120</v>
      </c>
      <c r="H12" s="21">
        <f t="shared" si="3"/>
        <v>-1120</v>
      </c>
      <c r="I12" s="21">
        <v>200</v>
      </c>
      <c r="J12" s="44">
        <v>0</v>
      </c>
      <c r="K12" s="44">
        <f t="shared" si="5"/>
        <v>-0.8214285714285714</v>
      </c>
    </row>
    <row r="13" spans="1:11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">
      <c r="A14" s="25"/>
      <c r="B14" s="3" t="s">
        <v>4</v>
      </c>
      <c r="C14" s="21">
        <f t="shared" ref="C14" si="6">SUM(C15:C20)</f>
        <v>101079.14</v>
      </c>
      <c r="D14" s="21">
        <f t="shared" ref="D14:G14" si="7">SUM(D15:D20)</f>
        <v>110199.96</v>
      </c>
      <c r="E14" s="21">
        <f t="shared" si="7"/>
        <v>0</v>
      </c>
      <c r="F14" s="21">
        <f t="shared" si="7"/>
        <v>110199.96</v>
      </c>
      <c r="G14" s="21">
        <f t="shared" si="7"/>
        <v>108000</v>
      </c>
      <c r="H14" s="21">
        <f t="shared" ref="H14" si="8">SUM(H15:H20)</f>
        <v>2199.9600000000064</v>
      </c>
      <c r="I14" s="21">
        <f t="shared" ref="I14" si="9">SUM(I15:I20)</f>
        <v>111300</v>
      </c>
      <c r="J14" s="44">
        <f t="shared" si="4"/>
        <v>9.9822177793893341E-3</v>
      </c>
      <c r="K14" s="44">
        <f t="shared" si="5"/>
        <v>3.0555555555555555E-2</v>
      </c>
    </row>
    <row r="15" spans="1:11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10">D15+E15</f>
        <v>0</v>
      </c>
      <c r="G15" s="21"/>
      <c r="H15" s="21">
        <f t="shared" si="3"/>
        <v>0</v>
      </c>
      <c r="I15" s="21"/>
      <c r="J15" s="44">
        <v>0</v>
      </c>
      <c r="K15" s="44">
        <v>0</v>
      </c>
    </row>
    <row r="16" spans="1:11" x14ac:dyDescent="0.2">
      <c r="A16" s="22" t="s">
        <v>45</v>
      </c>
      <c r="B16" s="23" t="s">
        <v>6</v>
      </c>
      <c r="C16" s="21"/>
      <c r="D16" s="21"/>
      <c r="E16" s="21"/>
      <c r="F16" s="21">
        <f t="shared" si="10"/>
        <v>0</v>
      </c>
      <c r="G16" s="21"/>
      <c r="H16" s="21">
        <f t="shared" si="3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>
        <v>0.01</v>
      </c>
      <c r="D17" s="21"/>
      <c r="E17" s="21"/>
      <c r="F17" s="21">
        <f t="shared" si="10"/>
        <v>0</v>
      </c>
      <c r="G17" s="21"/>
      <c r="H17" s="21">
        <f t="shared" si="3"/>
        <v>0</v>
      </c>
      <c r="I17" s="21"/>
      <c r="J17" s="44">
        <v>0</v>
      </c>
      <c r="K17" s="44">
        <v>0</v>
      </c>
    </row>
    <row r="18" spans="1:11" x14ac:dyDescent="0.2">
      <c r="A18" s="22" t="s">
        <v>47</v>
      </c>
      <c r="B18" s="23" t="s">
        <v>8</v>
      </c>
      <c r="C18" s="21">
        <v>101079.13</v>
      </c>
      <c r="D18" s="21">
        <v>110199.96</v>
      </c>
      <c r="E18" s="21"/>
      <c r="F18" s="21">
        <f t="shared" si="10"/>
        <v>110199.96</v>
      </c>
      <c r="G18" s="21">
        <v>108000</v>
      </c>
      <c r="H18" s="21">
        <f t="shared" si="3"/>
        <v>2199.9600000000064</v>
      </c>
      <c r="I18" s="21">
        <v>111300</v>
      </c>
      <c r="J18" s="44">
        <f t="shared" si="4"/>
        <v>9.9822177793893341E-3</v>
      </c>
      <c r="K18" s="44">
        <f t="shared" si="5"/>
        <v>3.0555555555555555E-2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10"/>
        <v>0</v>
      </c>
      <c r="G19" s="21"/>
      <c r="H19" s="21">
        <f t="shared" si="3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/>
      <c r="D20" s="21"/>
      <c r="E20" s="21"/>
      <c r="F20" s="21">
        <f t="shared" si="10"/>
        <v>0</v>
      </c>
      <c r="G20" s="21"/>
      <c r="H20" s="21">
        <f t="shared" si="3"/>
        <v>0</v>
      </c>
      <c r="I20" s="21"/>
      <c r="J20" s="44">
        <v>0</v>
      </c>
      <c r="K20" s="44">
        <v>0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" si="11">SUM(C23)</f>
        <v>420253.79</v>
      </c>
      <c r="D22" s="21">
        <f t="shared" ref="D22:H22" si="12">SUM(D23)</f>
        <v>284582.03999999998</v>
      </c>
      <c r="E22" s="21">
        <f t="shared" si="12"/>
        <v>0</v>
      </c>
      <c r="F22" s="21">
        <f t="shared" si="12"/>
        <v>284582.03999999998</v>
      </c>
      <c r="G22" s="21">
        <f t="shared" si="12"/>
        <v>302500</v>
      </c>
      <c r="H22" s="21">
        <f t="shared" si="12"/>
        <v>-17917.960000000021</v>
      </c>
      <c r="I22" s="21">
        <f t="shared" ref="I22" si="13">SUM(I23)</f>
        <v>291582</v>
      </c>
      <c r="J22" s="44">
        <f t="shared" si="4"/>
        <v>2.4597335798141096E-2</v>
      </c>
      <c r="K22" s="44">
        <f t="shared" si="5"/>
        <v>-3.6092561983471078E-2</v>
      </c>
    </row>
    <row r="23" spans="1:11" x14ac:dyDescent="0.2">
      <c r="A23" s="22" t="s">
        <v>50</v>
      </c>
      <c r="B23" s="23" t="s">
        <v>11</v>
      </c>
      <c r="C23" s="21">
        <v>420253.79</v>
      </c>
      <c r="D23" s="21">
        <v>284582.03999999998</v>
      </c>
      <c r="E23" s="21"/>
      <c r="F23" s="21">
        <f>D23+E23</f>
        <v>284582.03999999998</v>
      </c>
      <c r="G23" s="21">
        <v>302500</v>
      </c>
      <c r="H23" s="21">
        <f t="shared" si="3"/>
        <v>-17917.960000000021</v>
      </c>
      <c r="I23" s="21">
        <v>291582</v>
      </c>
      <c r="J23" s="44">
        <f t="shared" si="4"/>
        <v>2.4597335798141096E-2</v>
      </c>
      <c r="K23" s="44">
        <f t="shared" si="5"/>
        <v>-3.6092561983471078E-2</v>
      </c>
    </row>
    <row r="24" spans="1:1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">
      <c r="A25" s="25"/>
      <c r="B25" s="3" t="s">
        <v>12</v>
      </c>
      <c r="C25" s="21">
        <f t="shared" ref="C25" si="14">SUM(C26)</f>
        <v>6504.62</v>
      </c>
      <c r="D25" s="21">
        <f t="shared" ref="D25:H25" si="15">SUM(D26)</f>
        <v>9300</v>
      </c>
      <c r="E25" s="21">
        <f t="shared" si="15"/>
        <v>0</v>
      </c>
      <c r="F25" s="21">
        <f t="shared" si="15"/>
        <v>9300</v>
      </c>
      <c r="G25" s="21">
        <f t="shared" si="15"/>
        <v>10000</v>
      </c>
      <c r="H25" s="21">
        <f t="shared" si="15"/>
        <v>-700</v>
      </c>
      <c r="I25" s="21">
        <f t="shared" ref="I25" si="16">SUM(I26)</f>
        <v>7300</v>
      </c>
      <c r="J25" s="44">
        <f t="shared" si="4"/>
        <v>-0.21505376344086022</v>
      </c>
      <c r="K25" s="44">
        <f t="shared" si="5"/>
        <v>-0.27</v>
      </c>
    </row>
    <row r="26" spans="1:11" x14ac:dyDescent="0.2">
      <c r="A26" s="22" t="s">
        <v>51</v>
      </c>
      <c r="B26" s="23" t="s">
        <v>12</v>
      </c>
      <c r="C26" s="21">
        <v>6504.62</v>
      </c>
      <c r="D26" s="21">
        <v>9300</v>
      </c>
      <c r="E26" s="21"/>
      <c r="F26" s="21">
        <f>D26+E26</f>
        <v>9300</v>
      </c>
      <c r="G26" s="21">
        <v>10000</v>
      </c>
      <c r="H26" s="21">
        <f t="shared" si="3"/>
        <v>-700</v>
      </c>
      <c r="I26" s="21">
        <v>7300</v>
      </c>
      <c r="J26" s="44">
        <f t="shared" si="4"/>
        <v>-0.21505376344086022</v>
      </c>
      <c r="K26" s="44">
        <f t="shared" si="5"/>
        <v>-0.27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" si="17">SUM(C29)</f>
        <v>3693.88</v>
      </c>
      <c r="D28" s="21">
        <f t="shared" ref="D28:H28" si="18">SUM(D29)</f>
        <v>0</v>
      </c>
      <c r="E28" s="21">
        <f t="shared" si="18"/>
        <v>0</v>
      </c>
      <c r="F28" s="21">
        <f t="shared" si="18"/>
        <v>0</v>
      </c>
      <c r="G28" s="21">
        <f t="shared" si="18"/>
        <v>3000</v>
      </c>
      <c r="H28" s="21">
        <f t="shared" si="18"/>
        <v>-3000</v>
      </c>
      <c r="I28" s="21">
        <f t="shared" ref="I28" si="19">SUM(I29)</f>
        <v>1000</v>
      </c>
      <c r="J28" s="44">
        <v>0</v>
      </c>
      <c r="K28" s="44">
        <f t="shared" si="5"/>
        <v>-0.66666666666666663</v>
      </c>
    </row>
    <row r="29" spans="1:11" x14ac:dyDescent="0.2">
      <c r="A29" s="22" t="s">
        <v>52</v>
      </c>
      <c r="B29" s="23" t="s">
        <v>13</v>
      </c>
      <c r="C29" s="21">
        <v>3693.88</v>
      </c>
      <c r="D29" s="21"/>
      <c r="E29" s="21"/>
      <c r="F29" s="21">
        <f>D29+E29</f>
        <v>0</v>
      </c>
      <c r="G29" s="21">
        <v>3000</v>
      </c>
      <c r="H29" s="21">
        <f t="shared" si="3"/>
        <v>-3000</v>
      </c>
      <c r="I29" s="21">
        <v>1000</v>
      </c>
      <c r="J29" s="44">
        <v>0</v>
      </c>
      <c r="K29" s="44">
        <f t="shared" si="5"/>
        <v>-0.66666666666666663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" si="20">C28+C25+C22+C14+C8</f>
        <v>581837.03999999992</v>
      </c>
      <c r="D31" s="28">
        <f t="shared" ref="D31:G31" si="21">D28+D25+D22+D14+D8</f>
        <v>434681.88</v>
      </c>
      <c r="E31" s="28">
        <f t="shared" si="21"/>
        <v>0</v>
      </c>
      <c r="F31" s="28">
        <f t="shared" si="21"/>
        <v>434681.88</v>
      </c>
      <c r="G31" s="28">
        <f t="shared" si="21"/>
        <v>463920</v>
      </c>
      <c r="H31" s="28">
        <f t="shared" ref="H31" si="22">F31-G31</f>
        <v>-29238.119999999995</v>
      </c>
      <c r="I31" s="28">
        <f t="shared" ref="I31" si="23">I28+I25+I22+I14+I8</f>
        <v>445582</v>
      </c>
      <c r="J31" s="45">
        <f t="shared" ref="J31" si="24">(I31-F31)/F31</f>
        <v>2.5076085527190588E-2</v>
      </c>
      <c r="K31" s="45">
        <f t="shared" ref="K31" si="25">(I31-G31)/G31</f>
        <v>-3.9528366959820656E-2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5"/>
      <c r="B33" s="3" t="s">
        <v>15</v>
      </c>
      <c r="C33" s="21">
        <f t="shared" ref="C33" si="26">SUM(C34)</f>
        <v>0</v>
      </c>
      <c r="D33" s="21">
        <f t="shared" ref="D33:G33" si="27">SUM(D34)</f>
        <v>0</v>
      </c>
      <c r="E33" s="21">
        <f t="shared" si="27"/>
        <v>0</v>
      </c>
      <c r="F33" s="21">
        <f t="shared" si="27"/>
        <v>0</v>
      </c>
      <c r="G33" s="21">
        <f t="shared" si="27"/>
        <v>0</v>
      </c>
      <c r="H33" s="21">
        <f>IF(G33=0,0,G33-F33)</f>
        <v>0</v>
      </c>
      <c r="I33" s="21">
        <f t="shared" ref="I33" si="28">SUM(I34)</f>
        <v>0</v>
      </c>
      <c r="J33" s="21">
        <v>0</v>
      </c>
      <c r="K33" s="21">
        <v>0</v>
      </c>
    </row>
    <row r="34" spans="1:11" x14ac:dyDescent="0.2">
      <c r="A34" s="22" t="s">
        <v>53</v>
      </c>
      <c r="B34" s="23" t="s">
        <v>15</v>
      </c>
      <c r="C34" s="21"/>
      <c r="D34" s="21">
        <v>0</v>
      </c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1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1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25"/>
      <c r="B38" s="29" t="s">
        <v>36</v>
      </c>
      <c r="C38" s="21">
        <f>SUM(C39:C42)</f>
        <v>14983503.01</v>
      </c>
      <c r="D38" s="21">
        <f>SUM(D39:D42)</f>
        <v>15085301.879999999</v>
      </c>
      <c r="E38" s="21">
        <f>SUM(E39:E42)</f>
        <v>0</v>
      </c>
      <c r="F38" s="21">
        <f>SUM(F39:F42)</f>
        <v>15085301.879999999</v>
      </c>
      <c r="G38" s="21">
        <f>SUM(G39:G42)</f>
        <v>15377609</v>
      </c>
      <c r="H38" s="21">
        <f t="shared" ref="H38:H59" si="29">F38-G38</f>
        <v>-292307.12000000104</v>
      </c>
      <c r="I38" s="21">
        <f>SUM(I39:I42)</f>
        <v>15077158</v>
      </c>
      <c r="J38" s="44">
        <f t="shared" ref="J38:J42" si="30">(I38-F38)/F38</f>
        <v>-5.3985528859691319E-4</v>
      </c>
      <c r="K38" s="44">
        <f t="shared" ref="K38:K42" si="31">(I38-G38)/G38</f>
        <v>-1.9538212995271243E-2</v>
      </c>
    </row>
    <row r="39" spans="1:11" x14ac:dyDescent="0.2">
      <c r="A39" s="22" t="s">
        <v>54</v>
      </c>
      <c r="B39" s="23" t="s">
        <v>17</v>
      </c>
      <c r="C39" s="21">
        <v>12219261.49</v>
      </c>
      <c r="D39" s="21">
        <v>12290169.84</v>
      </c>
      <c r="E39" s="21"/>
      <c r="F39" s="21">
        <f>D39+E39</f>
        <v>12290169.84</v>
      </c>
      <c r="G39" s="21">
        <v>12393212</v>
      </c>
      <c r="H39" s="21">
        <f t="shared" si="29"/>
        <v>-103042.16000000015</v>
      </c>
      <c r="I39" s="21">
        <v>12103966</v>
      </c>
      <c r="J39" s="44">
        <f t="shared" si="30"/>
        <v>-1.5150631962300031E-2</v>
      </c>
      <c r="K39" s="44">
        <f t="shared" si="31"/>
        <v>-2.3339066579350049E-2</v>
      </c>
    </row>
    <row r="40" spans="1:11" x14ac:dyDescent="0.2">
      <c r="A40" s="22" t="s">
        <v>55</v>
      </c>
      <c r="B40" s="23" t="s">
        <v>18</v>
      </c>
      <c r="C40" s="21">
        <v>2171914.8199999998</v>
      </c>
      <c r="D40" s="21">
        <v>2152872.6</v>
      </c>
      <c r="E40" s="21"/>
      <c r="F40" s="21">
        <f>D40+E40</f>
        <v>2152872.6</v>
      </c>
      <c r="G40" s="21">
        <v>2414079</v>
      </c>
      <c r="H40" s="21">
        <f t="shared" si="29"/>
        <v>-261206.39999999991</v>
      </c>
      <c r="I40" s="21">
        <v>2355617</v>
      </c>
      <c r="J40" s="44">
        <f t="shared" si="30"/>
        <v>9.4173895845021158E-2</v>
      </c>
      <c r="K40" s="44">
        <f t="shared" si="31"/>
        <v>-2.4217103085690236E-2</v>
      </c>
    </row>
    <row r="41" spans="1:11" x14ac:dyDescent="0.2">
      <c r="A41" s="22" t="s">
        <v>56</v>
      </c>
      <c r="B41" s="23" t="s">
        <v>19</v>
      </c>
      <c r="C41" s="21">
        <v>738210.76</v>
      </c>
      <c r="D41" s="21">
        <v>741781.44</v>
      </c>
      <c r="E41" s="21"/>
      <c r="F41" s="21">
        <f>D41+E41</f>
        <v>741781.44</v>
      </c>
      <c r="G41" s="21">
        <v>731825</v>
      </c>
      <c r="H41" s="21">
        <f t="shared" si="29"/>
        <v>9956.4399999999441</v>
      </c>
      <c r="I41" s="21">
        <v>719995</v>
      </c>
      <c r="J41" s="44">
        <f t="shared" si="30"/>
        <v>-2.9370430190326608E-2</v>
      </c>
      <c r="K41" s="44">
        <f t="shared" si="31"/>
        <v>-1.6165066785092063E-2</v>
      </c>
    </row>
    <row r="42" spans="1:11" x14ac:dyDescent="0.2">
      <c r="A42" s="22" t="s">
        <v>57</v>
      </c>
      <c r="B42" s="23" t="s">
        <v>20</v>
      </c>
      <c r="C42" s="21">
        <v>-145884.06</v>
      </c>
      <c r="D42" s="21">
        <v>-99522</v>
      </c>
      <c r="E42" s="21"/>
      <c r="F42" s="21">
        <f>D42+E42</f>
        <v>-99522</v>
      </c>
      <c r="G42" s="21">
        <v>-161507</v>
      </c>
      <c r="H42" s="21">
        <f t="shared" si="29"/>
        <v>61985</v>
      </c>
      <c r="I42" s="21">
        <v>-102420</v>
      </c>
      <c r="J42" s="44">
        <f t="shared" si="30"/>
        <v>2.9119189726894555E-2</v>
      </c>
      <c r="K42" s="44">
        <f t="shared" si="31"/>
        <v>-0.36584791990440041</v>
      </c>
    </row>
    <row r="43" spans="1:11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A44" s="25"/>
      <c r="B44" s="29" t="s">
        <v>37</v>
      </c>
      <c r="C44" s="21">
        <f t="shared" ref="C44" si="32">SUM(C45:C46)</f>
        <v>2940377.33</v>
      </c>
      <c r="D44" s="21">
        <f t="shared" ref="D44:G44" si="33">SUM(D45:D46)</f>
        <v>3122048.64</v>
      </c>
      <c r="E44" s="21">
        <f t="shared" si="33"/>
        <v>0</v>
      </c>
      <c r="F44" s="21">
        <f t="shared" si="33"/>
        <v>3122048.64</v>
      </c>
      <c r="G44" s="21">
        <f t="shared" si="33"/>
        <v>3077758</v>
      </c>
      <c r="H44" s="21">
        <f t="shared" ref="H44" si="34">SUM(H45:H46)</f>
        <v>44290.64000000013</v>
      </c>
      <c r="I44" s="21">
        <f t="shared" ref="I44" si="35">SUM(I45:I46)</f>
        <v>3066237</v>
      </c>
      <c r="J44" s="44">
        <f t="shared" ref="J44:J46" si="36">(I44-F44)/F44</f>
        <v>-1.7876608097944346E-2</v>
      </c>
      <c r="K44" s="44">
        <f t="shared" ref="K44:K46" si="37">(I44-G44)/G44</f>
        <v>-3.7433092530341893E-3</v>
      </c>
    </row>
    <row r="45" spans="1:11" x14ac:dyDescent="0.2">
      <c r="A45" s="22" t="s">
        <v>58</v>
      </c>
      <c r="B45" s="23" t="s">
        <v>21</v>
      </c>
      <c r="C45" s="21"/>
      <c r="D45" s="21"/>
      <c r="E45" s="21"/>
      <c r="F45" s="21">
        <f>D45+E45</f>
        <v>0</v>
      </c>
      <c r="G45" s="21"/>
      <c r="H45" s="21">
        <f t="shared" si="29"/>
        <v>0</v>
      </c>
      <c r="I45" s="21"/>
      <c r="J45" s="44">
        <v>0</v>
      </c>
      <c r="K45" s="44">
        <v>0</v>
      </c>
    </row>
    <row r="46" spans="1:11" x14ac:dyDescent="0.2">
      <c r="A46" s="22" t="s">
        <v>59</v>
      </c>
      <c r="B46" s="23" t="s">
        <v>22</v>
      </c>
      <c r="C46" s="21">
        <v>2940377.33</v>
      </c>
      <c r="D46" s="21">
        <v>3122048.64</v>
      </c>
      <c r="E46" s="21"/>
      <c r="F46" s="21">
        <f>D46+E46</f>
        <v>3122048.64</v>
      </c>
      <c r="G46" s="21">
        <v>3077758</v>
      </c>
      <c r="H46" s="21">
        <f t="shared" si="29"/>
        <v>44290.64000000013</v>
      </c>
      <c r="I46" s="21">
        <v>3066237</v>
      </c>
      <c r="J46" s="44">
        <f t="shared" si="36"/>
        <v>-1.7876608097944346E-2</v>
      </c>
      <c r="K46" s="44">
        <f t="shared" si="37"/>
        <v>-3.7433092530341893E-3</v>
      </c>
    </row>
    <row r="47" spans="1:11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2">
      <c r="A48" s="25"/>
      <c r="B48" s="29" t="s">
        <v>38</v>
      </c>
      <c r="C48" s="21">
        <f t="shared" ref="C48" si="38">SUM(C49:C50)</f>
        <v>301410.98</v>
      </c>
      <c r="D48" s="21">
        <f t="shared" ref="D48:G48" si="39">SUM(D49:D50)</f>
        <v>289560.24</v>
      </c>
      <c r="E48" s="21">
        <f t="shared" si="39"/>
        <v>-6288.12</v>
      </c>
      <c r="F48" s="21">
        <f t="shared" si="39"/>
        <v>283272.12</v>
      </c>
      <c r="G48" s="21">
        <f t="shared" si="39"/>
        <v>275980</v>
      </c>
      <c r="H48" s="21">
        <f t="shared" ref="H48" si="40">SUM(H49:H50)</f>
        <v>7292.1199999999953</v>
      </c>
      <c r="I48" s="21">
        <f t="shared" ref="I48" si="41">SUM(I49:I50)</f>
        <v>295168</v>
      </c>
      <c r="J48" s="44">
        <f t="shared" ref="J48:J49" si="42">(I48-F48)/F48</f>
        <v>4.1994531618572292E-2</v>
      </c>
      <c r="K48" s="44">
        <f t="shared" ref="K48:K49" si="43">(I48-G48)/G48</f>
        <v>6.9526777302703097E-2</v>
      </c>
    </row>
    <row r="49" spans="1:11" x14ac:dyDescent="0.2">
      <c r="A49" s="22" t="s">
        <v>60</v>
      </c>
      <c r="B49" s="23" t="s">
        <v>23</v>
      </c>
      <c r="C49" s="21">
        <v>301490.62</v>
      </c>
      <c r="D49" s="21">
        <v>289560.24</v>
      </c>
      <c r="E49" s="21">
        <v>-6288.12</v>
      </c>
      <c r="F49" s="21">
        <f>D49+E49</f>
        <v>283272.12</v>
      </c>
      <c r="G49" s="21">
        <v>275980</v>
      </c>
      <c r="H49" s="21">
        <f t="shared" si="29"/>
        <v>7292.1199999999953</v>
      </c>
      <c r="I49" s="21">
        <v>295168</v>
      </c>
      <c r="J49" s="44">
        <f t="shared" si="42"/>
        <v>4.1994531618572292E-2</v>
      </c>
      <c r="K49" s="44">
        <f t="shared" si="43"/>
        <v>6.9526777302703097E-2</v>
      </c>
    </row>
    <row r="50" spans="1:11" x14ac:dyDescent="0.2">
      <c r="A50" s="22" t="s">
        <v>61</v>
      </c>
      <c r="B50" s="23" t="s">
        <v>24</v>
      </c>
      <c r="C50" s="21">
        <v>-79.64</v>
      </c>
      <c r="D50" s="21">
        <v>0</v>
      </c>
      <c r="E50" s="21"/>
      <c r="F50" s="21">
        <f>D50+E50</f>
        <v>0</v>
      </c>
      <c r="G50" s="21"/>
      <c r="H50" s="21">
        <f t="shared" si="29"/>
        <v>0</v>
      </c>
      <c r="I50" s="21"/>
      <c r="J50" s="44">
        <v>0</v>
      </c>
      <c r="K50" s="44">
        <v>0</v>
      </c>
    </row>
    <row r="51" spans="1:11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A52" s="25"/>
      <c r="B52" s="29" t="s">
        <v>25</v>
      </c>
      <c r="C52" s="21">
        <f t="shared" ref="C52" si="44">SUM(C53:C55)</f>
        <v>3700</v>
      </c>
      <c r="D52" s="21">
        <f t="shared" ref="D52:G52" si="45">SUM(D53:D55)</f>
        <v>0</v>
      </c>
      <c r="E52" s="21">
        <f t="shared" si="45"/>
        <v>0</v>
      </c>
      <c r="F52" s="21">
        <f t="shared" si="45"/>
        <v>0</v>
      </c>
      <c r="G52" s="21">
        <f t="shared" si="45"/>
        <v>2600</v>
      </c>
      <c r="H52" s="21">
        <f t="shared" ref="H52" si="46">SUM(H53:H55)</f>
        <v>-2600</v>
      </c>
      <c r="I52" s="21">
        <f t="shared" ref="I52" si="47">SUM(I53:I55)</f>
        <v>0</v>
      </c>
      <c r="J52" s="44">
        <v>0</v>
      </c>
      <c r="K52" s="44">
        <f t="shared" ref="K52:K53" si="48">(I52-G52)/G52</f>
        <v>-1</v>
      </c>
    </row>
    <row r="53" spans="1:11" x14ac:dyDescent="0.2">
      <c r="A53" s="22" t="s">
        <v>62</v>
      </c>
      <c r="B53" s="23" t="s">
        <v>26</v>
      </c>
      <c r="C53" s="21">
        <v>3700</v>
      </c>
      <c r="D53" s="21"/>
      <c r="E53" s="21"/>
      <c r="F53" s="21">
        <f>D53+E53</f>
        <v>0</v>
      </c>
      <c r="G53" s="21">
        <v>2600</v>
      </c>
      <c r="H53" s="21">
        <f t="shared" si="29"/>
        <v>-2600</v>
      </c>
      <c r="I53" s="21"/>
      <c r="J53" s="44">
        <v>0</v>
      </c>
      <c r="K53" s="44">
        <f t="shared" si="48"/>
        <v>-1</v>
      </c>
    </row>
    <row r="54" spans="1:11" x14ac:dyDescent="0.2">
      <c r="A54" s="22" t="s">
        <v>63</v>
      </c>
      <c r="B54" s="23" t="s">
        <v>27</v>
      </c>
      <c r="C54" s="21"/>
      <c r="D54" s="21"/>
      <c r="E54" s="21"/>
      <c r="F54" s="21">
        <f>D54+E54</f>
        <v>0</v>
      </c>
      <c r="G54" s="21"/>
      <c r="H54" s="21">
        <f t="shared" si="29"/>
        <v>0</v>
      </c>
      <c r="I54" s="21"/>
      <c r="J54" s="44">
        <v>0</v>
      </c>
      <c r="K54" s="44">
        <v>0</v>
      </c>
    </row>
    <row r="55" spans="1:11" x14ac:dyDescent="0.2">
      <c r="A55" s="22" t="s">
        <v>64</v>
      </c>
      <c r="B55" s="23" t="s">
        <v>28</v>
      </c>
      <c r="C55" s="21"/>
      <c r="D55" s="21"/>
      <c r="E55" s="21"/>
      <c r="F55" s="21">
        <f>D55+E55</f>
        <v>0</v>
      </c>
      <c r="G55" s="21"/>
      <c r="H55" s="21">
        <f t="shared" si="29"/>
        <v>0</v>
      </c>
      <c r="I55" s="21"/>
      <c r="J55" s="44">
        <v>0</v>
      </c>
      <c r="K55" s="44">
        <v>0</v>
      </c>
    </row>
    <row r="56" spans="1:11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2">
      <c r="A57" s="25"/>
      <c r="B57" s="29" t="s">
        <v>29</v>
      </c>
      <c r="C57" s="21">
        <f t="shared" ref="C57" si="49">SUM(C58:C59)</f>
        <v>3748238.23</v>
      </c>
      <c r="D57" s="21">
        <f t="shared" ref="D57:G57" si="50">SUM(D58:D59)</f>
        <v>3767514.12</v>
      </c>
      <c r="E57" s="21">
        <f t="shared" si="50"/>
        <v>0</v>
      </c>
      <c r="F57" s="21">
        <f t="shared" si="50"/>
        <v>3767514.12</v>
      </c>
      <c r="G57" s="21">
        <f t="shared" si="50"/>
        <v>3553428</v>
      </c>
      <c r="H57" s="21">
        <f t="shared" ref="H57" si="51">SUM(H58:H59)</f>
        <v>214086.12000000005</v>
      </c>
      <c r="I57" s="21">
        <f t="shared" ref="I57" si="52">SUM(I58:I59)</f>
        <v>3627292</v>
      </c>
      <c r="J57" s="44">
        <f t="shared" ref="J57:J59" si="53">(I57-F57)/F57</f>
        <v>-3.7218737749548265E-2</v>
      </c>
      <c r="K57" s="44">
        <f t="shared" ref="K57:K59" si="54">(I57-G57)/G57</f>
        <v>2.0786688234572363E-2</v>
      </c>
    </row>
    <row r="58" spans="1:11" x14ac:dyDescent="0.2">
      <c r="A58" s="22" t="s">
        <v>65</v>
      </c>
      <c r="B58" s="23" t="s">
        <v>30</v>
      </c>
      <c r="C58" s="21">
        <v>3702026.39</v>
      </c>
      <c r="D58" s="21">
        <v>3739904.04</v>
      </c>
      <c r="E58" s="21"/>
      <c r="F58" s="21">
        <f>D58+E58</f>
        <v>3739904.04</v>
      </c>
      <c r="G58" s="21">
        <v>3535416</v>
      </c>
      <c r="H58" s="21">
        <f t="shared" si="29"/>
        <v>204488.04000000004</v>
      </c>
      <c r="I58" s="21">
        <v>3598202</v>
      </c>
      <c r="J58" s="44">
        <f t="shared" si="53"/>
        <v>-3.7889218141543557E-2</v>
      </c>
      <c r="K58" s="44">
        <f t="shared" si="54"/>
        <v>1.7759154792533607E-2</v>
      </c>
    </row>
    <row r="59" spans="1:11" x14ac:dyDescent="0.2">
      <c r="A59" s="22" t="s">
        <v>66</v>
      </c>
      <c r="B59" s="23" t="s">
        <v>31</v>
      </c>
      <c r="C59" s="21">
        <v>46211.839999999997</v>
      </c>
      <c r="D59" s="21">
        <v>27610.080000000002</v>
      </c>
      <c r="E59" s="21"/>
      <c r="F59" s="21">
        <f>D59+E59</f>
        <v>27610.080000000002</v>
      </c>
      <c r="G59" s="21">
        <v>18012</v>
      </c>
      <c r="H59" s="21">
        <f t="shared" si="29"/>
        <v>9598.0800000000017</v>
      </c>
      <c r="I59" s="21">
        <v>29090</v>
      </c>
      <c r="J59" s="44">
        <f t="shared" si="53"/>
        <v>5.360071394215439E-2</v>
      </c>
      <c r="K59" s="44">
        <f t="shared" si="54"/>
        <v>0.61503442149677989</v>
      </c>
    </row>
    <row r="60" spans="1:11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1" ht="15" x14ac:dyDescent="0.25">
      <c r="A61" s="33"/>
      <c r="B61" s="27" t="s">
        <v>32</v>
      </c>
      <c r="C61" s="28">
        <f t="shared" ref="C61" si="55">C57+C52+C48+C44+C38</f>
        <v>21977229.550000001</v>
      </c>
      <c r="D61" s="28">
        <f t="shared" ref="D61:G61" si="56">D57+D52+D48+D44+D38</f>
        <v>22264424.879999999</v>
      </c>
      <c r="E61" s="28">
        <f t="shared" si="56"/>
        <v>-6288.12</v>
      </c>
      <c r="F61" s="28">
        <f t="shared" si="56"/>
        <v>22258136.759999998</v>
      </c>
      <c r="G61" s="28">
        <f t="shared" si="56"/>
        <v>22287375</v>
      </c>
      <c r="H61" s="28">
        <f t="shared" ref="H61" si="57">F61-G61</f>
        <v>-29238.240000002086</v>
      </c>
      <c r="I61" s="28">
        <f t="shared" ref="I61" si="58">I57+I52+I48+I44+I38</f>
        <v>22065855</v>
      </c>
      <c r="J61" s="45">
        <f t="shared" ref="J61" si="59">(I61-F61)/F61</f>
        <v>-8.6387177001062652E-3</v>
      </c>
      <c r="K61" s="45">
        <f t="shared" ref="K61" si="60">(I61-G61)/G61</f>
        <v>-9.9392593340400116E-3</v>
      </c>
    </row>
    <row r="62" spans="1:11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15" x14ac:dyDescent="0.25">
      <c r="A63" s="33"/>
      <c r="B63" s="27" t="s">
        <v>33</v>
      </c>
      <c r="C63" s="28">
        <f t="shared" ref="C63" si="61">C31+C33-C61</f>
        <v>-21395392.510000002</v>
      </c>
      <c r="D63" s="28">
        <f t="shared" ref="D63:G63" si="62">D31+D33-D61</f>
        <v>-21829743</v>
      </c>
      <c r="E63" s="28">
        <f t="shared" si="62"/>
        <v>6288.12</v>
      </c>
      <c r="F63" s="28">
        <f t="shared" si="62"/>
        <v>-21823454.879999999</v>
      </c>
      <c r="G63" s="28">
        <f t="shared" si="62"/>
        <v>-21823455</v>
      </c>
      <c r="H63" s="28">
        <f t="shared" ref="H63" si="63">H31-H61</f>
        <v>0.12000000209081918</v>
      </c>
      <c r="I63" s="28">
        <f t="shared" ref="I63" si="64">I31+I33-I61</f>
        <v>-21620273</v>
      </c>
      <c r="J63" s="45">
        <f t="shared" ref="J63" si="65">(I63-F63)/F63</f>
        <v>-9.3102527128371415E-3</v>
      </c>
      <c r="K63" s="45">
        <f t="shared" ref="K63" si="66">(I63-G63)/G63</f>
        <v>-9.3102581603142116E-3</v>
      </c>
    </row>
    <row r="64" spans="1:11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</row>
    <row r="66" spans="10:11" x14ac:dyDescent="0.2">
      <c r="J66" s="41"/>
      <c r="K66" s="41"/>
    </row>
  </sheetData>
  <pageMargins left="0.78740157480314965" right="0.78740157480314965" top="0.78740157480314965" bottom="0.78740157480314965" header="0.51181102362204722" footer="0.51181102362204722"/>
  <pageSetup paperSize="9" scale="52" orientation="portrait" r:id="rId1"/>
  <headerFooter alignWithMargins="0">
    <oddHeader>&amp;R&amp;D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pageSetUpPr fitToPage="1"/>
  </sheetPr>
  <dimension ref="A1:N66"/>
  <sheetViews>
    <sheetView zoomScale="82" zoomScaleNormal="82" workbookViewId="0">
      <pane xSplit="2" ySplit="5" topLeftCell="C30" activePane="bottomRight" state="frozen"/>
      <selection activeCell="H13" sqref="H13"/>
      <selection pane="topRight" activeCell="H13" sqref="H13"/>
      <selection pane="bottomLeft" activeCell="H13" sqref="H13"/>
      <selection pane="bottomRight" activeCell="I50" sqref="I50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2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2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2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2" x14ac:dyDescent="0.2">
      <c r="A4" s="12"/>
      <c r="B4" s="6" t="s">
        <v>103</v>
      </c>
      <c r="C4" s="15"/>
      <c r="D4" s="15"/>
      <c r="E4" s="15"/>
      <c r="F4" s="15"/>
      <c r="G4" s="15"/>
      <c r="H4" s="15"/>
      <c r="I4" s="15"/>
      <c r="J4" s="15"/>
      <c r="K4" s="15"/>
    </row>
    <row r="5" spans="1:12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2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2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2" x14ac:dyDescent="0.2">
      <c r="A8" s="20"/>
      <c r="B8" s="3" t="s">
        <v>35</v>
      </c>
      <c r="C8" s="21">
        <f t="shared" ref="C8" si="0">SUM(C9:C12)</f>
        <v>1775228.14</v>
      </c>
      <c r="D8" s="21">
        <f t="shared" ref="D8:G8" si="1">SUM(D9:D12)</f>
        <v>2177000.04</v>
      </c>
      <c r="E8" s="21">
        <f t="shared" si="1"/>
        <v>0</v>
      </c>
      <c r="F8" s="21">
        <f t="shared" si="1"/>
        <v>2177000.04</v>
      </c>
      <c r="G8" s="21">
        <f t="shared" si="1"/>
        <v>1852000</v>
      </c>
      <c r="H8" s="21">
        <f>F8-G8</f>
        <v>325000.04000000004</v>
      </c>
      <c r="I8" s="21">
        <f t="shared" ref="I8" si="2">SUM(I9:I12)</f>
        <v>2021300</v>
      </c>
      <c r="J8" s="44">
        <f>(I8-F8)/F8</f>
        <v>-7.1520458033615855E-2</v>
      </c>
      <c r="K8" s="44">
        <f>(I8-G8)/G8</f>
        <v>9.1414686825053992E-2</v>
      </c>
    </row>
    <row r="9" spans="1:12" x14ac:dyDescent="0.2">
      <c r="A9" s="22" t="s">
        <v>39</v>
      </c>
      <c r="B9" s="23" t="s">
        <v>1</v>
      </c>
      <c r="C9" s="21">
        <v>1321307.8899999999</v>
      </c>
      <c r="D9" s="21">
        <v>1724799.96</v>
      </c>
      <c r="E9" s="21"/>
      <c r="F9" s="21">
        <f>D9+E9</f>
        <v>1724799.96</v>
      </c>
      <c r="G9" s="21">
        <v>1400000</v>
      </c>
      <c r="H9" s="21">
        <f t="shared" ref="H9:H29" si="3">F9-G9</f>
        <v>324799.95999999996</v>
      </c>
      <c r="I9" s="21">
        <f>1636700</f>
        <v>1636700</v>
      </c>
      <c r="J9" s="44">
        <f t="shared" ref="J9:J29" si="4">(I9-F9)/F9</f>
        <v>-5.1078363893282998E-2</v>
      </c>
      <c r="K9" s="44">
        <f t="shared" ref="K9:K29" si="5">(I9-G9)/G9</f>
        <v>0.16907142857142857</v>
      </c>
      <c r="L9" s="42"/>
    </row>
    <row r="10" spans="1:12" x14ac:dyDescent="0.2">
      <c r="A10" s="22" t="s">
        <v>40</v>
      </c>
      <c r="B10" s="23" t="s">
        <v>41</v>
      </c>
      <c r="C10" s="21"/>
      <c r="D10" s="21">
        <v>0</v>
      </c>
      <c r="E10" s="21"/>
      <c r="F10" s="21">
        <f>D10+E10</f>
        <v>0</v>
      </c>
      <c r="G10" s="21"/>
      <c r="H10" s="21">
        <f t="shared" si="3"/>
        <v>0</v>
      </c>
      <c r="I10" s="21"/>
      <c r="J10" s="44">
        <v>0</v>
      </c>
      <c r="K10" s="44">
        <v>0</v>
      </c>
    </row>
    <row r="11" spans="1:12" x14ac:dyDescent="0.2">
      <c r="A11" s="22" t="s">
        <v>42</v>
      </c>
      <c r="B11" s="23" t="s">
        <v>2</v>
      </c>
      <c r="C11" s="21"/>
      <c r="D11" s="21">
        <v>0</v>
      </c>
      <c r="E11" s="21"/>
      <c r="F11" s="21">
        <f>D11+E11</f>
        <v>0</v>
      </c>
      <c r="G11" s="21"/>
      <c r="H11" s="21">
        <f t="shared" si="3"/>
        <v>0</v>
      </c>
      <c r="I11" s="21"/>
      <c r="J11" s="44">
        <v>0</v>
      </c>
      <c r="K11" s="44">
        <v>0</v>
      </c>
    </row>
    <row r="12" spans="1:12" x14ac:dyDescent="0.2">
      <c r="A12" s="22" t="s">
        <v>43</v>
      </c>
      <c r="B12" s="23" t="s">
        <v>3</v>
      </c>
      <c r="C12" s="21">
        <v>453920.25</v>
      </c>
      <c r="D12" s="21">
        <v>452200.08</v>
      </c>
      <c r="E12" s="21"/>
      <c r="F12" s="21">
        <f>D12+E12</f>
        <v>452200.08</v>
      </c>
      <c r="G12" s="21">
        <v>452000</v>
      </c>
      <c r="H12" s="21">
        <f t="shared" si="3"/>
        <v>200.0800000000163</v>
      </c>
      <c r="I12" s="21">
        <v>384600</v>
      </c>
      <c r="J12" s="44">
        <f t="shared" si="4"/>
        <v>-0.14949152596346293</v>
      </c>
      <c r="K12" s="44">
        <f t="shared" si="5"/>
        <v>-0.1491150442477876</v>
      </c>
    </row>
    <row r="13" spans="1:12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2" x14ac:dyDescent="0.2">
      <c r="A14" s="25"/>
      <c r="B14" s="3" t="s">
        <v>4</v>
      </c>
      <c r="C14" s="21">
        <f t="shared" ref="C14" si="6">SUM(C15:C20)</f>
        <v>45829.02</v>
      </c>
      <c r="D14" s="21">
        <f t="shared" ref="D14:G14" si="7">SUM(D15:D20)</f>
        <v>2100</v>
      </c>
      <c r="E14" s="21">
        <f t="shared" si="7"/>
        <v>0</v>
      </c>
      <c r="F14" s="21">
        <f t="shared" si="7"/>
        <v>2100</v>
      </c>
      <c r="G14" s="21">
        <f t="shared" si="7"/>
        <v>20000</v>
      </c>
      <c r="H14" s="21">
        <f t="shared" ref="H14:I14" si="8">SUM(H15:H20)</f>
        <v>-17900</v>
      </c>
      <c r="I14" s="21">
        <f t="shared" si="8"/>
        <v>4600</v>
      </c>
      <c r="J14" s="44">
        <f t="shared" si="4"/>
        <v>1.1904761904761905</v>
      </c>
      <c r="K14" s="44">
        <f t="shared" si="5"/>
        <v>-0.77</v>
      </c>
    </row>
    <row r="15" spans="1:12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9">D15+E15</f>
        <v>0</v>
      </c>
      <c r="G15" s="21"/>
      <c r="H15" s="21">
        <f t="shared" si="3"/>
        <v>0</v>
      </c>
      <c r="I15" s="21"/>
      <c r="J15" s="44">
        <v>0</v>
      </c>
      <c r="K15" s="44">
        <v>0</v>
      </c>
    </row>
    <row r="16" spans="1:12" x14ac:dyDescent="0.2">
      <c r="A16" s="22" t="s">
        <v>45</v>
      </c>
      <c r="B16" s="23" t="s">
        <v>6</v>
      </c>
      <c r="C16" s="21"/>
      <c r="D16" s="21"/>
      <c r="E16" s="21"/>
      <c r="F16" s="21">
        <f t="shared" si="9"/>
        <v>0</v>
      </c>
      <c r="G16" s="21"/>
      <c r="H16" s="21">
        <f t="shared" si="3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/>
      <c r="D17" s="21"/>
      <c r="E17" s="21"/>
      <c r="F17" s="21">
        <f t="shared" si="9"/>
        <v>0</v>
      </c>
      <c r="G17" s="21"/>
      <c r="H17" s="21">
        <f t="shared" si="3"/>
        <v>0</v>
      </c>
      <c r="I17" s="21"/>
      <c r="J17" s="44">
        <v>0</v>
      </c>
      <c r="K17" s="44">
        <v>0</v>
      </c>
    </row>
    <row r="18" spans="1:11" x14ac:dyDescent="0.2">
      <c r="A18" s="22" t="s">
        <v>47</v>
      </c>
      <c r="B18" s="23" t="s">
        <v>8</v>
      </c>
      <c r="C18" s="21">
        <v>2295.5</v>
      </c>
      <c r="D18" s="21">
        <v>99.96</v>
      </c>
      <c r="E18" s="21"/>
      <c r="F18" s="21">
        <f t="shared" si="9"/>
        <v>99.96</v>
      </c>
      <c r="G18" s="21"/>
      <c r="H18" s="21">
        <f t="shared" si="3"/>
        <v>99.96</v>
      </c>
      <c r="I18" s="21">
        <v>1600</v>
      </c>
      <c r="J18" s="44">
        <f t="shared" si="4"/>
        <v>15.006402561024411</v>
      </c>
      <c r="K18" s="44">
        <v>0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9"/>
        <v>0</v>
      </c>
      <c r="G19" s="21"/>
      <c r="H19" s="21">
        <f t="shared" si="3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>
        <v>43533.52</v>
      </c>
      <c r="D20" s="21">
        <v>2000.04</v>
      </c>
      <c r="E20" s="21"/>
      <c r="F20" s="21">
        <f t="shared" si="9"/>
        <v>2000.04</v>
      </c>
      <c r="G20" s="21">
        <v>20000</v>
      </c>
      <c r="H20" s="21">
        <f t="shared" si="3"/>
        <v>-17999.96</v>
      </c>
      <c r="I20" s="21">
        <v>3000</v>
      </c>
      <c r="J20" s="44">
        <f t="shared" si="4"/>
        <v>0.49997000059998803</v>
      </c>
      <c r="K20" s="44">
        <f t="shared" si="5"/>
        <v>-0.85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" si="10">SUM(C23)</f>
        <v>65049.98</v>
      </c>
      <c r="D22" s="21">
        <f t="shared" ref="D22:I22" si="11">SUM(D23)</f>
        <v>25900.080000000002</v>
      </c>
      <c r="E22" s="21">
        <f t="shared" si="11"/>
        <v>0</v>
      </c>
      <c r="F22" s="21">
        <f t="shared" si="11"/>
        <v>25900.080000000002</v>
      </c>
      <c r="G22" s="21">
        <f t="shared" si="11"/>
        <v>162000</v>
      </c>
      <c r="H22" s="21">
        <f t="shared" si="11"/>
        <v>-136099.91999999998</v>
      </c>
      <c r="I22" s="21">
        <f t="shared" si="11"/>
        <v>325900</v>
      </c>
      <c r="J22" s="44">
        <f t="shared" si="4"/>
        <v>11.582972716686587</v>
      </c>
      <c r="K22" s="44">
        <f t="shared" si="5"/>
        <v>1.0117283950617284</v>
      </c>
    </row>
    <row r="23" spans="1:11" x14ac:dyDescent="0.2">
      <c r="A23" s="22" t="s">
        <v>50</v>
      </c>
      <c r="B23" s="23" t="s">
        <v>11</v>
      </c>
      <c r="C23" s="21">
        <v>65049.98</v>
      </c>
      <c r="D23" s="21">
        <v>25900.080000000002</v>
      </c>
      <c r="E23" s="21"/>
      <c r="F23" s="21">
        <f>D23+E23</f>
        <v>25900.080000000002</v>
      </c>
      <c r="G23" s="21">
        <v>162000</v>
      </c>
      <c r="H23" s="21">
        <f t="shared" si="3"/>
        <v>-136099.91999999998</v>
      </c>
      <c r="I23" s="21">
        <f>25900+300000</f>
        <v>325900</v>
      </c>
      <c r="J23" s="44">
        <f t="shared" si="4"/>
        <v>11.582972716686587</v>
      </c>
      <c r="K23" s="44">
        <f t="shared" si="5"/>
        <v>1.0117283950617284</v>
      </c>
    </row>
    <row r="24" spans="1:1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">
      <c r="A25" s="25"/>
      <c r="B25" s="3" t="s">
        <v>12</v>
      </c>
      <c r="C25" s="21">
        <f t="shared" ref="C25" si="12">SUM(C26)</f>
        <v>128695.25</v>
      </c>
      <c r="D25" s="21">
        <f t="shared" ref="D25:I25" si="13">SUM(D26)</f>
        <v>23000.04</v>
      </c>
      <c r="E25" s="21">
        <f t="shared" si="13"/>
        <v>0</v>
      </c>
      <c r="F25" s="21">
        <f t="shared" si="13"/>
        <v>23000.04</v>
      </c>
      <c r="G25" s="21">
        <f t="shared" si="13"/>
        <v>23000</v>
      </c>
      <c r="H25" s="21">
        <f t="shared" si="13"/>
        <v>4.0000000000873115E-2</v>
      </c>
      <c r="I25" s="21">
        <f t="shared" si="13"/>
        <v>15000</v>
      </c>
      <c r="J25" s="44">
        <f t="shared" si="4"/>
        <v>-0.34782722117005016</v>
      </c>
      <c r="K25" s="44">
        <f t="shared" si="5"/>
        <v>-0.34782608695652173</v>
      </c>
    </row>
    <row r="26" spans="1:11" x14ac:dyDescent="0.2">
      <c r="A26" s="22" t="s">
        <v>51</v>
      </c>
      <c r="B26" s="23" t="s">
        <v>12</v>
      </c>
      <c r="C26" s="21">
        <v>128695.25</v>
      </c>
      <c r="D26" s="21">
        <v>23000.04</v>
      </c>
      <c r="E26" s="21"/>
      <c r="F26" s="21">
        <f>D26+E26</f>
        <v>23000.04</v>
      </c>
      <c r="G26" s="21">
        <v>23000</v>
      </c>
      <c r="H26" s="21">
        <f t="shared" si="3"/>
        <v>4.0000000000873115E-2</v>
      </c>
      <c r="I26" s="21">
        <v>15000</v>
      </c>
      <c r="J26" s="44">
        <f t="shared" si="4"/>
        <v>-0.34782722117005016</v>
      </c>
      <c r="K26" s="44">
        <f t="shared" si="5"/>
        <v>-0.34782608695652173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" si="14">SUM(C29)</f>
        <v>190794.94</v>
      </c>
      <c r="D28" s="21">
        <f t="shared" ref="D28:I28" si="15">SUM(D29)</f>
        <v>244500</v>
      </c>
      <c r="E28" s="21">
        <f t="shared" si="15"/>
        <v>0</v>
      </c>
      <c r="F28" s="21">
        <f t="shared" si="15"/>
        <v>244500</v>
      </c>
      <c r="G28" s="21">
        <f t="shared" si="15"/>
        <v>244500</v>
      </c>
      <c r="H28" s="21">
        <f t="shared" si="15"/>
        <v>0</v>
      </c>
      <c r="I28" s="21">
        <f t="shared" si="15"/>
        <v>942000</v>
      </c>
      <c r="J28" s="44">
        <f t="shared" si="4"/>
        <v>2.852760736196319</v>
      </c>
      <c r="K28" s="44">
        <f t="shared" si="5"/>
        <v>2.852760736196319</v>
      </c>
    </row>
    <row r="29" spans="1:11" x14ac:dyDescent="0.2">
      <c r="A29" s="22" t="s">
        <v>52</v>
      </c>
      <c r="B29" s="23" t="s">
        <v>13</v>
      </c>
      <c r="C29" s="21">
        <v>190794.94</v>
      </c>
      <c r="D29" s="21">
        <v>244500</v>
      </c>
      <c r="E29" s="21"/>
      <c r="F29" s="21">
        <f>D29+E29</f>
        <v>244500</v>
      </c>
      <c r="G29" s="21">
        <v>244500</v>
      </c>
      <c r="H29" s="21">
        <f t="shared" si="3"/>
        <v>0</v>
      </c>
      <c r="I29" s="21">
        <f>592000+350000</f>
        <v>942000</v>
      </c>
      <c r="J29" s="44">
        <f t="shared" si="4"/>
        <v>2.852760736196319</v>
      </c>
      <c r="K29" s="44">
        <f t="shared" si="5"/>
        <v>2.852760736196319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" si="16">C28+C25+C22+C14+C8</f>
        <v>2205597.33</v>
      </c>
      <c r="D31" s="28">
        <f t="shared" ref="D31:G31" si="17">D28+D25+D22+D14+D8</f>
        <v>2472500.16</v>
      </c>
      <c r="E31" s="28">
        <f t="shared" si="17"/>
        <v>0</v>
      </c>
      <c r="F31" s="28">
        <f t="shared" si="17"/>
        <v>2472500.16</v>
      </c>
      <c r="G31" s="28">
        <f t="shared" si="17"/>
        <v>2301500</v>
      </c>
      <c r="H31" s="28">
        <f t="shared" ref="H31" si="18">F31-G31</f>
        <v>171000.16000000015</v>
      </c>
      <c r="I31" s="28">
        <f t="shared" ref="I31" si="19">I28+I25+I22+I14+I8</f>
        <v>3308800</v>
      </c>
      <c r="J31" s="45">
        <f t="shared" ref="J31" si="20">(I31-F31)/F31</f>
        <v>0.33824056051830542</v>
      </c>
      <c r="K31" s="45">
        <f t="shared" ref="K31" si="21">(I31-G31)/G31</f>
        <v>0.43767108407560285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4" x14ac:dyDescent="0.2">
      <c r="A33" s="25"/>
      <c r="B33" s="3" t="s">
        <v>15</v>
      </c>
      <c r="C33" s="21">
        <f t="shared" ref="C33" si="22">SUM(C34)</f>
        <v>0</v>
      </c>
      <c r="D33" s="21">
        <f t="shared" ref="D33:G33" si="23">SUM(D34)</f>
        <v>0</v>
      </c>
      <c r="E33" s="21">
        <f t="shared" si="23"/>
        <v>0</v>
      </c>
      <c r="F33" s="21">
        <f t="shared" si="23"/>
        <v>0</v>
      </c>
      <c r="G33" s="21">
        <f t="shared" si="23"/>
        <v>0</v>
      </c>
      <c r="H33" s="21">
        <f>IF(G33=0,0,G33-F33)</f>
        <v>0</v>
      </c>
      <c r="I33" s="21">
        <f t="shared" ref="I33" si="24">SUM(I34)</f>
        <v>0</v>
      </c>
      <c r="J33" s="21">
        <v>0</v>
      </c>
      <c r="K33" s="21">
        <v>0</v>
      </c>
    </row>
    <row r="34" spans="1:14" x14ac:dyDescent="0.2">
      <c r="A34" s="22" t="s">
        <v>53</v>
      </c>
      <c r="B34" s="23" t="s">
        <v>15</v>
      </c>
      <c r="C34" s="21"/>
      <c r="D34" s="21">
        <v>0</v>
      </c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4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4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4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4" x14ac:dyDescent="0.2">
      <c r="A38" s="25"/>
      <c r="B38" s="29" t="s">
        <v>36</v>
      </c>
      <c r="C38" s="21">
        <f>SUM(C39:C42)</f>
        <v>21882986.040000003</v>
      </c>
      <c r="D38" s="21">
        <f>SUM(D39:D42)</f>
        <v>23404254.120000001</v>
      </c>
      <c r="E38" s="21">
        <f>SUM(E39:E42)</f>
        <v>-522849.48</v>
      </c>
      <c r="F38" s="21">
        <f>SUM(F39:F42)</f>
        <v>22881404.640000004</v>
      </c>
      <c r="G38" s="21">
        <f>SUM(G39:G42)</f>
        <v>22880310</v>
      </c>
      <c r="H38" s="21">
        <f t="shared" ref="H38:H59" si="25">F38-G38</f>
        <v>1094.6400000043213</v>
      </c>
      <c r="I38" s="21">
        <f>SUM(I39:I42)</f>
        <v>22871130</v>
      </c>
      <c r="J38" s="44">
        <f t="shared" ref="J38:J42" si="26">(I38-F38)/F38</f>
        <v>-4.4903886634838688E-4</v>
      </c>
      <c r="K38" s="44">
        <f t="shared" ref="K38:K42" si="27">(I38-G38)/G38</f>
        <v>-4.0121834013612576E-4</v>
      </c>
    </row>
    <row r="39" spans="1:14" x14ac:dyDescent="0.2">
      <c r="A39" s="22" t="s">
        <v>54</v>
      </c>
      <c r="B39" s="23" t="s">
        <v>17</v>
      </c>
      <c r="C39" s="21">
        <v>17981856.420000002</v>
      </c>
      <c r="D39" s="21">
        <v>19061264.280000001</v>
      </c>
      <c r="E39" s="21">
        <v>-425810.88</v>
      </c>
      <c r="F39" s="21">
        <f>D39+E39</f>
        <v>18635453.400000002</v>
      </c>
      <c r="G39" s="21">
        <v>18775000</v>
      </c>
      <c r="H39" s="21">
        <f t="shared" si="25"/>
        <v>-139546.59999999776</v>
      </c>
      <c r="I39" s="21">
        <v>18596317</v>
      </c>
      <c r="J39" s="44">
        <f t="shared" si="26"/>
        <v>-2.1001045244223695E-3</v>
      </c>
      <c r="K39" s="44">
        <f t="shared" si="27"/>
        <v>-9.5170705725699072E-3</v>
      </c>
      <c r="M39" s="41"/>
    </row>
    <row r="40" spans="1:14" x14ac:dyDescent="0.2">
      <c r="A40" s="22" t="s">
        <v>55</v>
      </c>
      <c r="B40" s="23" t="s">
        <v>18</v>
      </c>
      <c r="C40" s="21">
        <v>2986902.28</v>
      </c>
      <c r="D40" s="21">
        <v>3192761.16</v>
      </c>
      <c r="E40" s="21">
        <v>-71340.72</v>
      </c>
      <c r="F40" s="21">
        <f>D40+E40</f>
        <v>3121420.44</v>
      </c>
      <c r="G40" s="21">
        <v>3131979</v>
      </c>
      <c r="H40" s="21">
        <f t="shared" si="25"/>
        <v>-10558.560000000056</v>
      </c>
      <c r="I40" s="21">
        <v>3170672</v>
      </c>
      <c r="J40" s="44">
        <f t="shared" si="26"/>
        <v>1.5778572911504373E-2</v>
      </c>
      <c r="K40" s="44">
        <f t="shared" si="27"/>
        <v>1.235416967993719E-2</v>
      </c>
      <c r="M40" s="41"/>
    </row>
    <row r="41" spans="1:14" x14ac:dyDescent="0.2">
      <c r="A41" s="22" t="s">
        <v>56</v>
      </c>
      <c r="B41" s="23" t="s">
        <v>19</v>
      </c>
      <c r="C41" s="21">
        <v>1106191.33</v>
      </c>
      <c r="D41" s="21">
        <v>1151300.6399999999</v>
      </c>
      <c r="E41" s="21">
        <v>-25697.88</v>
      </c>
      <c r="F41" s="21">
        <f>D41+E41</f>
        <v>1125602.76</v>
      </c>
      <c r="G41" s="21">
        <v>1173331</v>
      </c>
      <c r="H41" s="21">
        <f t="shared" si="25"/>
        <v>-47728.239999999991</v>
      </c>
      <c r="I41" s="21">
        <v>1104621</v>
      </c>
      <c r="J41" s="44">
        <f t="shared" si="26"/>
        <v>-1.8640466020179276E-2</v>
      </c>
      <c r="K41" s="44">
        <f t="shared" si="27"/>
        <v>-5.8559775545008186E-2</v>
      </c>
      <c r="M41" s="41"/>
      <c r="N41" s="41"/>
    </row>
    <row r="42" spans="1:14" x14ac:dyDescent="0.2">
      <c r="A42" s="22" t="s">
        <v>57</v>
      </c>
      <c r="B42" s="23" t="s">
        <v>20</v>
      </c>
      <c r="C42" s="21">
        <v>-191963.99</v>
      </c>
      <c r="D42" s="21">
        <v>-1071.96</v>
      </c>
      <c r="E42" s="21"/>
      <c r="F42" s="21">
        <f>D42+E42</f>
        <v>-1071.96</v>
      </c>
      <c r="G42" s="21">
        <v>-200000</v>
      </c>
      <c r="H42" s="21">
        <f t="shared" si="25"/>
        <v>198928.04</v>
      </c>
      <c r="I42" s="21">
        <v>-480</v>
      </c>
      <c r="J42" s="44">
        <f t="shared" si="26"/>
        <v>-0.55222209783947163</v>
      </c>
      <c r="K42" s="44">
        <f t="shared" si="27"/>
        <v>-0.99760000000000004</v>
      </c>
    </row>
    <row r="43" spans="1:14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4" x14ac:dyDescent="0.2">
      <c r="A44" s="25"/>
      <c r="B44" s="29" t="s">
        <v>37</v>
      </c>
      <c r="C44" s="21">
        <f t="shared" ref="C44" si="28">SUM(C45:C46)</f>
        <v>7265724.9900000002</v>
      </c>
      <c r="D44" s="21">
        <f t="shared" ref="D44:G44" si="29">SUM(D45:D46)</f>
        <v>6637889.7599999998</v>
      </c>
      <c r="E44" s="21">
        <f t="shared" si="29"/>
        <v>500000.04</v>
      </c>
      <c r="F44" s="21">
        <f t="shared" si="29"/>
        <v>7137889.7999999998</v>
      </c>
      <c r="G44" s="21">
        <f t="shared" si="29"/>
        <v>7500000</v>
      </c>
      <c r="H44" s="21">
        <f t="shared" ref="H44:I44" si="30">SUM(H45:H46)</f>
        <v>-362110.20000000019</v>
      </c>
      <c r="I44" s="21">
        <f t="shared" si="30"/>
        <v>7905747</v>
      </c>
      <c r="J44" s="44">
        <f t="shared" ref="J44:J46" si="31">(I44-F44)/F44</f>
        <v>0.10757481854090829</v>
      </c>
      <c r="K44" s="44">
        <f t="shared" ref="K44:K46" si="32">(I44-G44)/G44</f>
        <v>5.4099599999999998E-2</v>
      </c>
    </row>
    <row r="45" spans="1:14" x14ac:dyDescent="0.2">
      <c r="A45" s="22" t="s">
        <v>58</v>
      </c>
      <c r="B45" s="23" t="s">
        <v>21</v>
      </c>
      <c r="C45" s="21"/>
      <c r="D45" s="21"/>
      <c r="E45" s="21"/>
      <c r="F45" s="21">
        <f>D45+E45</f>
        <v>0</v>
      </c>
      <c r="G45" s="21"/>
      <c r="H45" s="21">
        <f t="shared" si="25"/>
        <v>0</v>
      </c>
      <c r="I45" s="21"/>
      <c r="J45" s="44">
        <v>0</v>
      </c>
      <c r="K45" s="44">
        <v>0</v>
      </c>
    </row>
    <row r="46" spans="1:14" x14ac:dyDescent="0.2">
      <c r="A46" s="22" t="s">
        <v>59</v>
      </c>
      <c r="B46" s="23" t="s">
        <v>22</v>
      </c>
      <c r="C46" s="21">
        <v>7265724.9900000002</v>
      </c>
      <c r="D46" s="21">
        <v>6637889.7599999998</v>
      </c>
      <c r="E46" s="21">
        <v>500000.04</v>
      </c>
      <c r="F46" s="21">
        <f>D46+E46</f>
        <v>7137889.7999999998</v>
      </c>
      <c r="G46" s="21">
        <v>7500000</v>
      </c>
      <c r="H46" s="21">
        <f t="shared" si="25"/>
        <v>-362110.20000000019</v>
      </c>
      <c r="I46" s="21">
        <v>7905747</v>
      </c>
      <c r="J46" s="44">
        <f t="shared" si="31"/>
        <v>0.10757481854090829</v>
      </c>
      <c r="K46" s="44">
        <f t="shared" si="32"/>
        <v>5.4099599999999998E-2</v>
      </c>
    </row>
    <row r="47" spans="1:14" x14ac:dyDescent="0.2">
      <c r="A47" s="22"/>
      <c r="B47" s="23"/>
      <c r="C47" s="24"/>
      <c r="D47" s="24"/>
      <c r="E47" s="24"/>
      <c r="F47" s="24"/>
      <c r="G47" s="21"/>
      <c r="H47" s="21">
        <f t="shared" si="25"/>
        <v>0</v>
      </c>
      <c r="I47" s="21"/>
      <c r="J47" s="24"/>
      <c r="K47" s="24"/>
    </row>
    <row r="48" spans="1:14" x14ac:dyDescent="0.2">
      <c r="A48" s="25"/>
      <c r="B48" s="29" t="s">
        <v>38</v>
      </c>
      <c r="C48" s="21">
        <f t="shared" ref="C48" si="33">SUM(C49:C50)</f>
        <v>4013524.61</v>
      </c>
      <c r="D48" s="21">
        <f t="shared" ref="D48:G48" si="34">SUM(D49:D50)</f>
        <v>4067344.92</v>
      </c>
      <c r="E48" s="21">
        <f t="shared" si="34"/>
        <v>-88329.96</v>
      </c>
      <c r="F48" s="21">
        <f t="shared" si="34"/>
        <v>3979014.96</v>
      </c>
      <c r="G48" s="21">
        <f t="shared" si="34"/>
        <v>4000000</v>
      </c>
      <c r="H48" s="21">
        <f t="shared" si="25"/>
        <v>-20985.040000000037</v>
      </c>
      <c r="I48" s="21">
        <f t="shared" ref="I48" si="35">SUM(I49:I50)</f>
        <v>3975652</v>
      </c>
      <c r="J48" s="44">
        <f t="shared" ref="J48:J49" si="36">(I48-F48)/F48</f>
        <v>-8.4517400256267519E-4</v>
      </c>
      <c r="K48" s="44">
        <f t="shared" ref="K48:K49" si="37">(I48-G48)/G48</f>
        <v>-6.0870000000000004E-3</v>
      </c>
    </row>
    <row r="49" spans="1:11" x14ac:dyDescent="0.2">
      <c r="A49" s="22" t="s">
        <v>60</v>
      </c>
      <c r="B49" s="23" t="s">
        <v>23</v>
      </c>
      <c r="C49" s="21">
        <v>4015045.5</v>
      </c>
      <c r="D49" s="21">
        <v>4067344.92</v>
      </c>
      <c r="E49" s="21">
        <v>-88329.96</v>
      </c>
      <c r="F49" s="21">
        <f>D49+E49</f>
        <v>3979014.96</v>
      </c>
      <c r="G49" s="21">
        <v>4000000</v>
      </c>
      <c r="H49" s="21">
        <f t="shared" si="25"/>
        <v>-20985.040000000037</v>
      </c>
      <c r="I49" s="21">
        <v>3975652</v>
      </c>
      <c r="J49" s="44">
        <f t="shared" si="36"/>
        <v>-8.4517400256267519E-4</v>
      </c>
      <c r="K49" s="44">
        <f t="shared" si="37"/>
        <v>-6.0870000000000004E-3</v>
      </c>
    </row>
    <row r="50" spans="1:11" x14ac:dyDescent="0.2">
      <c r="A50" s="22" t="s">
        <v>61</v>
      </c>
      <c r="B50" s="23" t="s">
        <v>24</v>
      </c>
      <c r="C50" s="21">
        <v>-1520.89</v>
      </c>
      <c r="D50" s="21"/>
      <c r="E50" s="21"/>
      <c r="F50" s="21">
        <f>D50+E50</f>
        <v>0</v>
      </c>
      <c r="G50" s="21"/>
      <c r="H50" s="21">
        <f t="shared" si="25"/>
        <v>0</v>
      </c>
      <c r="I50" s="21"/>
      <c r="J50" s="44">
        <v>0</v>
      </c>
      <c r="K50" s="44">
        <v>0</v>
      </c>
    </row>
    <row r="51" spans="1:11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A52" s="25"/>
      <c r="B52" s="29" t="s">
        <v>25</v>
      </c>
      <c r="C52" s="21">
        <f t="shared" ref="C52" si="38">SUM(C53:C55)</f>
        <v>4615.5</v>
      </c>
      <c r="D52" s="21">
        <f t="shared" ref="D52:G52" si="39">SUM(D53:D55)</f>
        <v>3350.16</v>
      </c>
      <c r="E52" s="21">
        <f t="shared" si="39"/>
        <v>0</v>
      </c>
      <c r="F52" s="21">
        <f t="shared" si="39"/>
        <v>3350.16</v>
      </c>
      <c r="G52" s="21">
        <f t="shared" si="39"/>
        <v>3350</v>
      </c>
      <c r="H52" s="21">
        <f t="shared" ref="H52:I52" si="40">SUM(H53:H55)</f>
        <v>0.15999999999985448</v>
      </c>
      <c r="I52" s="21">
        <f t="shared" si="40"/>
        <v>1100</v>
      </c>
      <c r="J52" s="44">
        <f t="shared" ref="J52:J53" si="41">(I52-F52)/F52</f>
        <v>-0.67165747307591273</v>
      </c>
      <c r="K52" s="44">
        <f t="shared" ref="K52:K53" si="42">(I52-G52)/G52</f>
        <v>-0.67164179104477617</v>
      </c>
    </row>
    <row r="53" spans="1:11" x14ac:dyDescent="0.2">
      <c r="A53" s="22" t="s">
        <v>62</v>
      </c>
      <c r="B53" s="23" t="s">
        <v>26</v>
      </c>
      <c r="C53" s="21">
        <v>3995.5</v>
      </c>
      <c r="D53" s="21">
        <v>3350.16</v>
      </c>
      <c r="E53" s="21"/>
      <c r="F53" s="21">
        <f>D53+E53</f>
        <v>3350.16</v>
      </c>
      <c r="G53" s="21">
        <v>3350</v>
      </c>
      <c r="H53" s="21">
        <f t="shared" si="25"/>
        <v>0.15999999999985448</v>
      </c>
      <c r="I53" s="21">
        <v>1100</v>
      </c>
      <c r="J53" s="44">
        <f t="shared" si="41"/>
        <v>-0.67165747307591273</v>
      </c>
      <c r="K53" s="44">
        <f t="shared" si="42"/>
        <v>-0.67164179104477617</v>
      </c>
    </row>
    <row r="54" spans="1:11" x14ac:dyDescent="0.2">
      <c r="A54" s="22" t="s">
        <v>63</v>
      </c>
      <c r="B54" s="23" t="s">
        <v>27</v>
      </c>
      <c r="C54" s="21">
        <v>620</v>
      </c>
      <c r="D54" s="21"/>
      <c r="E54" s="21"/>
      <c r="F54" s="21">
        <f>D54+E54</f>
        <v>0</v>
      </c>
      <c r="G54" s="21"/>
      <c r="H54" s="21">
        <f t="shared" si="25"/>
        <v>0</v>
      </c>
      <c r="I54" s="21"/>
      <c r="J54" s="44">
        <v>0</v>
      </c>
      <c r="K54" s="44">
        <v>0</v>
      </c>
    </row>
    <row r="55" spans="1:11" x14ac:dyDescent="0.2">
      <c r="A55" s="22" t="s">
        <v>64</v>
      </c>
      <c r="B55" s="23" t="s">
        <v>28</v>
      </c>
      <c r="C55" s="21"/>
      <c r="D55" s="21">
        <v>0</v>
      </c>
      <c r="E55" s="21"/>
      <c r="F55" s="21">
        <f>D55+E55</f>
        <v>0</v>
      </c>
      <c r="G55" s="21"/>
      <c r="H55" s="21">
        <f t="shared" si="25"/>
        <v>0</v>
      </c>
      <c r="I55" s="21"/>
      <c r="J55" s="44">
        <v>0</v>
      </c>
      <c r="K55" s="44">
        <v>0</v>
      </c>
    </row>
    <row r="56" spans="1:11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2">
      <c r="A57" s="25"/>
      <c r="B57" s="29" t="s">
        <v>29</v>
      </c>
      <c r="C57" s="21">
        <f t="shared" ref="C57" si="43">SUM(C58:C59)</f>
        <v>8165507.8799999999</v>
      </c>
      <c r="D57" s="21">
        <f t="shared" ref="D57:G57" si="44">SUM(D58:D59)</f>
        <v>8707711.8000000007</v>
      </c>
      <c r="E57" s="21">
        <f t="shared" si="44"/>
        <v>0</v>
      </c>
      <c r="F57" s="21">
        <f t="shared" si="44"/>
        <v>8707711.8000000007</v>
      </c>
      <c r="G57" s="21">
        <f t="shared" si="44"/>
        <v>8395223</v>
      </c>
      <c r="H57" s="21">
        <f t="shared" ref="H57:I57" si="45">SUM(H58:H59)</f>
        <v>312488.80000000086</v>
      </c>
      <c r="I57" s="21">
        <f t="shared" si="45"/>
        <v>8679094</v>
      </c>
      <c r="J57" s="44">
        <f t="shared" ref="J57:J59" si="46">(I57-F57)/F57</f>
        <v>-3.2864891095730504E-3</v>
      </c>
      <c r="K57" s="44">
        <f t="shared" ref="K57:K59" si="47">(I57-G57)/G57</f>
        <v>3.381339602295258E-2</v>
      </c>
    </row>
    <row r="58" spans="1:11" x14ac:dyDescent="0.2">
      <c r="A58" s="22" t="s">
        <v>65</v>
      </c>
      <c r="B58" s="23" t="s">
        <v>30</v>
      </c>
      <c r="C58" s="21">
        <v>8256171.5700000003</v>
      </c>
      <c r="D58" s="21">
        <v>8495222.8800000008</v>
      </c>
      <c r="E58" s="21"/>
      <c r="F58" s="21">
        <f>D58+E58</f>
        <v>8495222.8800000008</v>
      </c>
      <c r="G58" s="21">
        <v>8495223</v>
      </c>
      <c r="H58" s="21">
        <f t="shared" si="25"/>
        <v>-0.11999999918043613</v>
      </c>
      <c r="I58" s="21">
        <f>8607665-80000</f>
        <v>8527665</v>
      </c>
      <c r="J58" s="44">
        <f t="shared" si="46"/>
        <v>3.8188662567496027E-3</v>
      </c>
      <c r="K58" s="44">
        <f t="shared" si="47"/>
        <v>3.8188520772203388E-3</v>
      </c>
    </row>
    <row r="59" spans="1:11" x14ac:dyDescent="0.2">
      <c r="A59" s="22" t="s">
        <v>66</v>
      </c>
      <c r="B59" s="23" t="s">
        <v>31</v>
      </c>
      <c r="C59" s="21">
        <v>-90663.69</v>
      </c>
      <c r="D59" s="21">
        <v>212488.92</v>
      </c>
      <c r="E59" s="21"/>
      <c r="F59" s="21">
        <f>D59+E59</f>
        <v>212488.92</v>
      </c>
      <c r="G59" s="21">
        <v>-100000</v>
      </c>
      <c r="H59" s="21">
        <f t="shared" si="25"/>
        <v>312488.92000000004</v>
      </c>
      <c r="I59" s="21">
        <v>151429</v>
      </c>
      <c r="J59" s="44">
        <f t="shared" si="46"/>
        <v>-0.28735578306859488</v>
      </c>
      <c r="K59" s="44">
        <f t="shared" si="47"/>
        <v>-2.5142899999999999</v>
      </c>
    </row>
    <row r="60" spans="1:11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1" ht="15" x14ac:dyDescent="0.25">
      <c r="A61" s="33"/>
      <c r="B61" s="27" t="s">
        <v>32</v>
      </c>
      <c r="C61" s="28">
        <f t="shared" ref="C61" si="48">C57+C52+C48+C44+C38</f>
        <v>41332359.020000003</v>
      </c>
      <c r="D61" s="28">
        <f t="shared" ref="D61:G61" si="49">D57+D52+D48+D44+D38</f>
        <v>42820550.760000005</v>
      </c>
      <c r="E61" s="28">
        <f t="shared" si="49"/>
        <v>-111179.40000000002</v>
      </c>
      <c r="F61" s="28">
        <f t="shared" si="49"/>
        <v>42709371.360000007</v>
      </c>
      <c r="G61" s="28">
        <f t="shared" si="49"/>
        <v>42778883</v>
      </c>
      <c r="H61" s="28">
        <f t="shared" ref="H61" si="50">F61-G61</f>
        <v>-69511.639999993145</v>
      </c>
      <c r="I61" s="28">
        <f t="shared" ref="I61" si="51">I57+I52+I48+I44+I38</f>
        <v>43432723</v>
      </c>
      <c r="J61" s="45">
        <f t="shared" ref="J61" si="52">(I61-F61)/F61</f>
        <v>1.693660236538759E-2</v>
      </c>
      <c r="K61" s="45">
        <f t="shared" ref="K61" si="53">(I61-G61)/G61</f>
        <v>1.5284176541028432E-2</v>
      </c>
    </row>
    <row r="62" spans="1:11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15" x14ac:dyDescent="0.25">
      <c r="A63" s="33"/>
      <c r="B63" s="27" t="s">
        <v>33</v>
      </c>
      <c r="C63" s="28">
        <f t="shared" ref="C63" si="54">C31+C33-C61</f>
        <v>-39126761.690000005</v>
      </c>
      <c r="D63" s="28">
        <f t="shared" ref="D63:G63" si="55">D31+D33-D61</f>
        <v>-40348050.600000009</v>
      </c>
      <c r="E63" s="28">
        <f t="shared" si="55"/>
        <v>111179.40000000002</v>
      </c>
      <c r="F63" s="28">
        <f t="shared" si="55"/>
        <v>-40236871.200000003</v>
      </c>
      <c r="G63" s="28">
        <f t="shared" si="55"/>
        <v>-40477383</v>
      </c>
      <c r="H63" s="28">
        <f t="shared" ref="H63" si="56">H31-H61</f>
        <v>240511.79999999329</v>
      </c>
      <c r="I63" s="28">
        <f t="shared" ref="I63" si="57">I31+I33-I61</f>
        <v>-40123923</v>
      </c>
      <c r="J63" s="45">
        <f t="shared" ref="J63" si="58">(I63-F63)/F63</f>
        <v>-2.8070820774952049E-3</v>
      </c>
      <c r="K63" s="45">
        <f t="shared" ref="K63" si="59">(I63-G63)/G63</f>
        <v>-8.7322839028402596E-3</v>
      </c>
    </row>
    <row r="64" spans="1:11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</row>
    <row r="66" spans="10:11" x14ac:dyDescent="0.2">
      <c r="J66" s="41"/>
      <c r="K66" s="41"/>
    </row>
  </sheetData>
  <pageMargins left="0.78740157480314965" right="0.78740157480314965" top="0.78740157480314965" bottom="0.78740157480314965" header="0.51181102362204722" footer="0.51181102362204722"/>
  <pageSetup paperSize="9" scale="52" orientation="portrait" r:id="rId1"/>
  <headerFooter alignWithMargins="0">
    <oddHeader>&amp;R&amp;D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K66"/>
  <sheetViews>
    <sheetView zoomScale="81" zoomScaleNormal="81" workbookViewId="0">
      <pane xSplit="2" ySplit="5" topLeftCell="C6" activePane="bottomRight" state="frozen"/>
      <selection activeCell="H13" sqref="H13"/>
      <selection pane="topRight" activeCell="H13" sqref="H13"/>
      <selection pane="bottomLeft" activeCell="H13" sqref="H13"/>
      <selection pane="bottomRight" activeCell="C6" sqref="C6"/>
    </sheetView>
  </sheetViews>
  <sheetFormatPr defaultColWidth="9.140625" defaultRowHeight="12.75" x14ac:dyDescent="0.2"/>
  <cols>
    <col min="1" max="1" width="6.28515625" style="5" customWidth="1"/>
    <col min="2" max="2" width="56.140625" style="5" bestFit="1" customWidth="1"/>
    <col min="3" max="3" width="16.7109375" style="5" customWidth="1"/>
    <col min="4" max="5" width="16.7109375" style="5" hidden="1" customWidth="1"/>
    <col min="6" max="9" width="16.7109375" style="5" customWidth="1"/>
    <col min="10" max="11" width="10.7109375" style="5" customWidth="1"/>
    <col min="12" max="16384" width="9.140625" style="5"/>
  </cols>
  <sheetData>
    <row r="1" spans="1:11" x14ac:dyDescent="0.2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ht="33" customHeight="1" x14ac:dyDescent="0.2">
      <c r="A2" s="12"/>
      <c r="B2" s="13"/>
      <c r="C2" s="14" t="s">
        <v>86</v>
      </c>
      <c r="D2" s="14" t="s">
        <v>84</v>
      </c>
      <c r="E2" s="14" t="s">
        <v>68</v>
      </c>
      <c r="F2" s="14" t="s">
        <v>85</v>
      </c>
      <c r="G2" s="14" t="s">
        <v>83</v>
      </c>
      <c r="H2" s="14" t="s">
        <v>69</v>
      </c>
      <c r="I2" s="14" t="s">
        <v>92</v>
      </c>
      <c r="J2" s="14" t="s">
        <v>105</v>
      </c>
      <c r="K2" s="14" t="s">
        <v>106</v>
      </c>
    </row>
    <row r="3" spans="1:11" x14ac:dyDescent="0.2">
      <c r="A3" s="12"/>
      <c r="B3" s="6"/>
      <c r="C3" s="14"/>
      <c r="D3" s="14"/>
      <c r="E3" s="14"/>
      <c r="F3" s="14"/>
      <c r="G3" s="14" t="s">
        <v>87</v>
      </c>
      <c r="H3" s="14"/>
      <c r="I3" s="14"/>
      <c r="J3" s="14"/>
      <c r="K3" s="14"/>
    </row>
    <row r="4" spans="1:11" x14ac:dyDescent="0.2">
      <c r="A4" s="12"/>
      <c r="B4" s="6" t="s">
        <v>104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">
      <c r="A5" s="12"/>
      <c r="B5" s="13" t="s">
        <v>34</v>
      </c>
      <c r="C5" s="16"/>
      <c r="D5" s="16"/>
      <c r="E5" s="17"/>
      <c r="F5" s="17"/>
      <c r="G5" s="17"/>
      <c r="H5" s="17"/>
      <c r="I5" s="17"/>
      <c r="J5" s="17"/>
      <c r="K5" s="17"/>
    </row>
    <row r="6" spans="1:11" ht="15" x14ac:dyDescent="0.25">
      <c r="A6" s="32"/>
      <c r="B6" s="27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">
      <c r="A7" s="18"/>
      <c r="B7" s="19" t="s">
        <v>34</v>
      </c>
      <c r="C7" s="8"/>
      <c r="D7" s="8"/>
      <c r="E7" s="2"/>
      <c r="F7" s="2"/>
      <c r="G7" s="2"/>
      <c r="H7" s="2"/>
      <c r="I7" s="2"/>
      <c r="J7" s="2"/>
      <c r="K7" s="2"/>
    </row>
    <row r="8" spans="1:11" x14ac:dyDescent="0.2">
      <c r="A8" s="20"/>
      <c r="B8" s="3" t="s">
        <v>35</v>
      </c>
      <c r="C8" s="21">
        <f t="shared" ref="C8" si="0">SUM(C9:C12)</f>
        <v>2866819.5500000003</v>
      </c>
      <c r="D8" s="21">
        <f t="shared" ref="D8:G8" si="1">SUM(D9:D12)</f>
        <v>2307000.2400000002</v>
      </c>
      <c r="E8" s="21">
        <f t="shared" si="1"/>
        <v>0</v>
      </c>
      <c r="F8" s="21">
        <f t="shared" si="1"/>
        <v>2307000.2400000002</v>
      </c>
      <c r="G8" s="21">
        <f t="shared" si="1"/>
        <v>2950000</v>
      </c>
      <c r="H8" s="21">
        <f>F8-G8</f>
        <v>-642999.75999999978</v>
      </c>
      <c r="I8" s="21">
        <f t="shared" ref="I8" si="2">SUM(I9:I12)</f>
        <v>2497500</v>
      </c>
      <c r="J8" s="44">
        <f>(I8-F8)/F8</f>
        <v>8.2574659810178322E-2</v>
      </c>
      <c r="K8" s="44">
        <f>(I8-G8)/G8</f>
        <v>-0.15338983050847457</v>
      </c>
    </row>
    <row r="9" spans="1:11" x14ac:dyDescent="0.2">
      <c r="A9" s="22" t="s">
        <v>39</v>
      </c>
      <c r="B9" s="23" t="s">
        <v>1</v>
      </c>
      <c r="C9" s="21">
        <v>2854333.85</v>
      </c>
      <c r="D9" s="21">
        <v>2268000.2400000002</v>
      </c>
      <c r="E9" s="21"/>
      <c r="F9" s="21">
        <f>D9+E9</f>
        <v>2268000.2400000002</v>
      </c>
      <c r="G9" s="21">
        <v>2900000</v>
      </c>
      <c r="H9" s="21">
        <f t="shared" ref="H9:H29" si="3">F9-G9</f>
        <v>-631999.75999999978</v>
      </c>
      <c r="I9" s="21">
        <v>2445000</v>
      </c>
      <c r="J9" s="44">
        <f t="shared" ref="J9:J26" si="4">(I9-F9)/F9</f>
        <v>7.8042213963786772E-2</v>
      </c>
      <c r="K9" s="44">
        <f t="shared" ref="K9:K29" si="5">(I9-G9)/G9</f>
        <v>-0.15689655172413794</v>
      </c>
    </row>
    <row r="10" spans="1:11" x14ac:dyDescent="0.2">
      <c r="A10" s="22" t="s">
        <v>40</v>
      </c>
      <c r="B10" s="23" t="s">
        <v>41</v>
      </c>
      <c r="C10" s="21"/>
      <c r="D10" s="21"/>
      <c r="E10" s="21"/>
      <c r="F10" s="21">
        <f>D10+E10</f>
        <v>0</v>
      </c>
      <c r="G10" s="21"/>
      <c r="H10" s="21">
        <f t="shared" si="3"/>
        <v>0</v>
      </c>
      <c r="I10" s="21"/>
      <c r="J10" s="44">
        <v>0</v>
      </c>
      <c r="K10" s="44">
        <v>0</v>
      </c>
    </row>
    <row r="11" spans="1:11" x14ac:dyDescent="0.2">
      <c r="A11" s="22" t="s">
        <v>42</v>
      </c>
      <c r="B11" s="23" t="s">
        <v>2</v>
      </c>
      <c r="C11" s="21"/>
      <c r="D11" s="21">
        <v>36999.96</v>
      </c>
      <c r="E11" s="21"/>
      <c r="F11" s="21">
        <f>D11+E11</f>
        <v>36999.96</v>
      </c>
      <c r="G11" s="21">
        <v>40000</v>
      </c>
      <c r="H11" s="21">
        <f t="shared" si="3"/>
        <v>-3000.0400000000009</v>
      </c>
      <c r="I11" s="21">
        <v>50000</v>
      </c>
      <c r="J11" s="44">
        <f t="shared" si="4"/>
        <v>0.35135281227331061</v>
      </c>
      <c r="K11" s="44">
        <f t="shared" si="5"/>
        <v>0.25</v>
      </c>
    </row>
    <row r="12" spans="1:11" x14ac:dyDescent="0.2">
      <c r="A12" s="22" t="s">
        <v>43</v>
      </c>
      <c r="B12" s="23" t="s">
        <v>3</v>
      </c>
      <c r="C12" s="21">
        <v>12485.7</v>
      </c>
      <c r="D12" s="21">
        <v>2000.04</v>
      </c>
      <c r="E12" s="21"/>
      <c r="F12" s="21">
        <f>D12+E12</f>
        <v>2000.04</v>
      </c>
      <c r="G12" s="21">
        <v>10000</v>
      </c>
      <c r="H12" s="21">
        <f t="shared" si="3"/>
        <v>-7999.96</v>
      </c>
      <c r="I12" s="21">
        <v>2500</v>
      </c>
      <c r="J12" s="44">
        <f t="shared" si="4"/>
        <v>0.24997500049999002</v>
      </c>
      <c r="K12" s="44">
        <f t="shared" si="5"/>
        <v>-0.75</v>
      </c>
    </row>
    <row r="13" spans="1:11" x14ac:dyDescent="0.2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</row>
    <row r="14" spans="1:11" x14ac:dyDescent="0.2">
      <c r="A14" s="25"/>
      <c r="B14" s="3" t="s">
        <v>4</v>
      </c>
      <c r="C14" s="21">
        <f t="shared" ref="C14" si="6">SUM(C15:C20)</f>
        <v>706316.3</v>
      </c>
      <c r="D14" s="21">
        <f t="shared" ref="D14:G14" si="7">SUM(D15:D20)</f>
        <v>636000.12</v>
      </c>
      <c r="E14" s="21">
        <f t="shared" si="7"/>
        <v>0</v>
      </c>
      <c r="F14" s="21">
        <f t="shared" si="7"/>
        <v>636000.12</v>
      </c>
      <c r="G14" s="21">
        <f t="shared" si="7"/>
        <v>500000</v>
      </c>
      <c r="H14" s="21">
        <f t="shared" ref="H14" si="8">SUM(H15:H20)</f>
        <v>136000.12</v>
      </c>
      <c r="I14" s="21">
        <f t="shared" ref="I14" si="9">SUM(I15:I20)</f>
        <v>533900</v>
      </c>
      <c r="J14" s="44">
        <f t="shared" si="4"/>
        <v>-0.16053474958463843</v>
      </c>
      <c r="K14" s="44">
        <f t="shared" si="5"/>
        <v>6.7799999999999999E-2</v>
      </c>
    </row>
    <row r="15" spans="1:11" x14ac:dyDescent="0.2">
      <c r="A15" s="22" t="s">
        <v>44</v>
      </c>
      <c r="B15" s="23" t="s">
        <v>5</v>
      </c>
      <c r="C15" s="21"/>
      <c r="D15" s="21"/>
      <c r="E15" s="21"/>
      <c r="F15" s="21">
        <f t="shared" ref="F15:F20" si="10">D15+E15</f>
        <v>0</v>
      </c>
      <c r="G15" s="21"/>
      <c r="H15" s="21">
        <f t="shared" si="3"/>
        <v>0</v>
      </c>
      <c r="I15" s="21"/>
      <c r="J15" s="44">
        <v>0</v>
      </c>
      <c r="K15" s="44">
        <v>0</v>
      </c>
    </row>
    <row r="16" spans="1:11" x14ac:dyDescent="0.2">
      <c r="A16" s="22" t="s">
        <v>45</v>
      </c>
      <c r="B16" s="23" t="s">
        <v>6</v>
      </c>
      <c r="C16" s="21"/>
      <c r="D16" s="21"/>
      <c r="E16" s="21"/>
      <c r="F16" s="21">
        <f t="shared" si="10"/>
        <v>0</v>
      </c>
      <c r="G16" s="21"/>
      <c r="H16" s="21">
        <f t="shared" si="3"/>
        <v>0</v>
      </c>
      <c r="I16" s="21"/>
      <c r="J16" s="44">
        <v>0</v>
      </c>
      <c r="K16" s="44">
        <v>0</v>
      </c>
    </row>
    <row r="17" spans="1:11" x14ac:dyDescent="0.2">
      <c r="A17" s="22" t="s">
        <v>46</v>
      </c>
      <c r="B17" s="23" t="s">
        <v>7</v>
      </c>
      <c r="C17" s="21"/>
      <c r="D17" s="21"/>
      <c r="E17" s="21"/>
      <c r="F17" s="21">
        <f t="shared" si="10"/>
        <v>0</v>
      </c>
      <c r="G17" s="21"/>
      <c r="H17" s="21">
        <f t="shared" si="3"/>
        <v>0</v>
      </c>
      <c r="I17" s="21"/>
      <c r="J17" s="44">
        <v>0</v>
      </c>
      <c r="K17" s="44">
        <v>0</v>
      </c>
    </row>
    <row r="18" spans="1:11" x14ac:dyDescent="0.2">
      <c r="A18" s="22" t="s">
        <v>47</v>
      </c>
      <c r="B18" s="23" t="s">
        <v>8</v>
      </c>
      <c r="C18" s="21">
        <v>677032.25</v>
      </c>
      <c r="D18" s="21">
        <v>636000.12</v>
      </c>
      <c r="E18" s="21"/>
      <c r="F18" s="21">
        <f t="shared" si="10"/>
        <v>636000.12</v>
      </c>
      <c r="G18" s="21">
        <v>500000</v>
      </c>
      <c r="H18" s="21">
        <f t="shared" si="3"/>
        <v>136000.12</v>
      </c>
      <c r="I18" s="21">
        <v>530400</v>
      </c>
      <c r="J18" s="44">
        <f t="shared" si="4"/>
        <v>-0.1660378932003975</v>
      </c>
      <c r="K18" s="44">
        <f t="shared" si="5"/>
        <v>6.08E-2</v>
      </c>
    </row>
    <row r="19" spans="1:11" x14ac:dyDescent="0.2">
      <c r="A19" s="22" t="s">
        <v>48</v>
      </c>
      <c r="B19" s="23" t="s">
        <v>9</v>
      </c>
      <c r="C19" s="21"/>
      <c r="D19" s="21"/>
      <c r="E19" s="21"/>
      <c r="F19" s="21">
        <f t="shared" si="10"/>
        <v>0</v>
      </c>
      <c r="G19" s="21"/>
      <c r="H19" s="21">
        <f t="shared" si="3"/>
        <v>0</v>
      </c>
      <c r="I19" s="21"/>
      <c r="J19" s="44">
        <v>0</v>
      </c>
      <c r="K19" s="44">
        <v>0</v>
      </c>
    </row>
    <row r="20" spans="1:11" x14ac:dyDescent="0.2">
      <c r="A20" s="22" t="s">
        <v>49</v>
      </c>
      <c r="B20" s="23" t="s">
        <v>10</v>
      </c>
      <c r="C20" s="21">
        <v>29284.05</v>
      </c>
      <c r="D20" s="21">
        <v>0</v>
      </c>
      <c r="E20" s="21"/>
      <c r="F20" s="21">
        <f t="shared" si="10"/>
        <v>0</v>
      </c>
      <c r="G20" s="21"/>
      <c r="H20" s="21">
        <f t="shared" si="3"/>
        <v>0</v>
      </c>
      <c r="I20" s="21">
        <v>3500</v>
      </c>
      <c r="J20" s="44">
        <v>0</v>
      </c>
      <c r="K20" s="44">
        <v>0</v>
      </c>
    </row>
    <row r="21" spans="1:11" x14ac:dyDescent="0.2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">
      <c r="A22" s="25"/>
      <c r="B22" s="3" t="s">
        <v>11</v>
      </c>
      <c r="C22" s="21">
        <f t="shared" ref="C22" si="11">SUM(C23)</f>
        <v>186371.17</v>
      </c>
      <c r="D22" s="21">
        <f t="shared" ref="D22:H22" si="12">SUM(D23)</f>
        <v>69999.960000000006</v>
      </c>
      <c r="E22" s="21">
        <f t="shared" si="12"/>
        <v>0</v>
      </c>
      <c r="F22" s="21">
        <f t="shared" si="12"/>
        <v>69999.960000000006</v>
      </c>
      <c r="G22" s="21">
        <f t="shared" si="12"/>
        <v>820000</v>
      </c>
      <c r="H22" s="21">
        <f t="shared" si="12"/>
        <v>-750000.04</v>
      </c>
      <c r="I22" s="21">
        <f t="shared" ref="I22" si="13">SUM(I23)</f>
        <v>730000</v>
      </c>
      <c r="J22" s="44">
        <f t="shared" si="4"/>
        <v>9.4285773877585068</v>
      </c>
      <c r="K22" s="44">
        <f t="shared" si="5"/>
        <v>-0.10975609756097561</v>
      </c>
    </row>
    <row r="23" spans="1:11" x14ac:dyDescent="0.2">
      <c r="A23" s="22" t="s">
        <v>50</v>
      </c>
      <c r="B23" s="23" t="s">
        <v>11</v>
      </c>
      <c r="C23" s="21">
        <v>186371.17</v>
      </c>
      <c r="D23" s="21">
        <v>69999.960000000006</v>
      </c>
      <c r="E23" s="21"/>
      <c r="F23" s="21">
        <f>D23+E23</f>
        <v>69999.960000000006</v>
      </c>
      <c r="G23" s="21">
        <v>820000</v>
      </c>
      <c r="H23" s="21">
        <f t="shared" si="3"/>
        <v>-750000.04</v>
      </c>
      <c r="I23" s="21">
        <v>730000</v>
      </c>
      <c r="J23" s="44">
        <f t="shared" si="4"/>
        <v>9.4285773877585068</v>
      </c>
      <c r="K23" s="44">
        <f t="shared" si="5"/>
        <v>-0.10975609756097561</v>
      </c>
    </row>
    <row r="24" spans="1:11" x14ac:dyDescent="0.2">
      <c r="A24" s="22"/>
      <c r="B24" s="23"/>
      <c r="C24" s="24"/>
      <c r="D24" s="24"/>
      <c r="E24" s="24"/>
      <c r="F24" s="24"/>
      <c r="G24" s="21"/>
      <c r="H24" s="21">
        <f t="shared" si="3"/>
        <v>0</v>
      </c>
      <c r="I24" s="21"/>
      <c r="J24" s="24"/>
      <c r="K24" s="24"/>
    </row>
    <row r="25" spans="1:11" x14ac:dyDescent="0.2">
      <c r="A25" s="25"/>
      <c r="B25" s="3" t="s">
        <v>12</v>
      </c>
      <c r="C25" s="21">
        <f t="shared" ref="C25" si="14">SUM(C26)</f>
        <v>20838.099999999999</v>
      </c>
      <c r="D25" s="21">
        <f t="shared" ref="D25:G25" si="15">SUM(D26)</f>
        <v>30000</v>
      </c>
      <c r="E25" s="21">
        <f t="shared" si="15"/>
        <v>0</v>
      </c>
      <c r="F25" s="21">
        <f t="shared" si="15"/>
        <v>30000</v>
      </c>
      <c r="G25" s="21">
        <f t="shared" si="15"/>
        <v>20000</v>
      </c>
      <c r="H25" s="21">
        <f t="shared" si="3"/>
        <v>10000</v>
      </c>
      <c r="I25" s="21">
        <f t="shared" ref="I25" si="16">SUM(I26)</f>
        <v>27000</v>
      </c>
      <c r="J25" s="44">
        <f t="shared" si="4"/>
        <v>-0.1</v>
      </c>
      <c r="K25" s="44">
        <f t="shared" si="5"/>
        <v>0.35</v>
      </c>
    </row>
    <row r="26" spans="1:11" x14ac:dyDescent="0.2">
      <c r="A26" s="22" t="s">
        <v>51</v>
      </c>
      <c r="B26" s="23" t="s">
        <v>12</v>
      </c>
      <c r="C26" s="21">
        <v>20838.099999999999</v>
      </c>
      <c r="D26" s="21">
        <v>30000</v>
      </c>
      <c r="E26" s="21"/>
      <c r="F26" s="21">
        <f>D26+E26</f>
        <v>30000</v>
      </c>
      <c r="G26" s="21">
        <v>20000</v>
      </c>
      <c r="H26" s="21">
        <f t="shared" si="3"/>
        <v>10000</v>
      </c>
      <c r="I26" s="21">
        <v>27000</v>
      </c>
      <c r="J26" s="44">
        <f t="shared" si="4"/>
        <v>-0.1</v>
      </c>
      <c r="K26" s="44">
        <f t="shared" si="5"/>
        <v>0.35</v>
      </c>
    </row>
    <row r="27" spans="1:11" x14ac:dyDescent="0.2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">
      <c r="A28" s="25"/>
      <c r="B28" s="3" t="s">
        <v>13</v>
      </c>
      <c r="C28" s="21">
        <f t="shared" ref="C28" si="17">SUM(C29)</f>
        <v>33425.269999999997</v>
      </c>
      <c r="D28" s="21">
        <f t="shared" ref="D28:H28" si="18">SUM(D29)</f>
        <v>0</v>
      </c>
      <c r="E28" s="21">
        <f t="shared" si="18"/>
        <v>0</v>
      </c>
      <c r="F28" s="21">
        <f t="shared" si="18"/>
        <v>0</v>
      </c>
      <c r="G28" s="21">
        <f t="shared" si="18"/>
        <v>10000</v>
      </c>
      <c r="H28" s="21">
        <f t="shared" si="18"/>
        <v>-10000</v>
      </c>
      <c r="I28" s="21">
        <f t="shared" ref="I28" si="19">SUM(I29)</f>
        <v>300</v>
      </c>
      <c r="J28" s="44">
        <v>0</v>
      </c>
      <c r="K28" s="44">
        <f t="shared" si="5"/>
        <v>-0.97</v>
      </c>
    </row>
    <row r="29" spans="1:11" x14ac:dyDescent="0.2">
      <c r="A29" s="22" t="s">
        <v>52</v>
      </c>
      <c r="B29" s="23" t="s">
        <v>13</v>
      </c>
      <c r="C29" s="21">
        <v>33425.269999999997</v>
      </c>
      <c r="D29" s="21">
        <v>0</v>
      </c>
      <c r="E29" s="21"/>
      <c r="F29" s="21">
        <f>D29+E29</f>
        <v>0</v>
      </c>
      <c r="G29" s="21">
        <v>10000</v>
      </c>
      <c r="H29" s="21">
        <f t="shared" si="3"/>
        <v>-10000</v>
      </c>
      <c r="I29" s="21">
        <v>300</v>
      </c>
      <c r="J29" s="44">
        <v>0</v>
      </c>
      <c r="K29" s="44">
        <f t="shared" si="5"/>
        <v>-0.97</v>
      </c>
    </row>
    <row r="30" spans="1:11" x14ac:dyDescent="0.2">
      <c r="A30" s="22"/>
      <c r="B30" s="26" t="s">
        <v>34</v>
      </c>
      <c r="C30" s="24"/>
      <c r="D30" s="24"/>
      <c r="E30" s="34"/>
      <c r="F30" s="34"/>
      <c r="G30" s="34"/>
      <c r="H30" s="34"/>
      <c r="I30" s="34"/>
      <c r="J30" s="34"/>
      <c r="K30" s="34"/>
    </row>
    <row r="31" spans="1:11" ht="15" x14ac:dyDescent="0.25">
      <c r="A31" s="33"/>
      <c r="B31" s="27" t="s">
        <v>14</v>
      </c>
      <c r="C31" s="28">
        <f t="shared" ref="C31" si="20">C28+C25+C22+C14+C8</f>
        <v>3813770.3900000006</v>
      </c>
      <c r="D31" s="28">
        <f t="shared" ref="D31:G31" si="21">D28+D25+D22+D14+D8</f>
        <v>3043000.3200000003</v>
      </c>
      <c r="E31" s="28">
        <f t="shared" si="21"/>
        <v>0</v>
      </c>
      <c r="F31" s="28">
        <f t="shared" si="21"/>
        <v>3043000.3200000003</v>
      </c>
      <c r="G31" s="28">
        <f t="shared" si="21"/>
        <v>4300000</v>
      </c>
      <c r="H31" s="28">
        <f t="shared" ref="H31" si="22">F31-G31</f>
        <v>-1256999.6799999997</v>
      </c>
      <c r="I31" s="28">
        <f t="shared" ref="I31" si="23">I28+I25+I22+I14+I8</f>
        <v>3788700</v>
      </c>
      <c r="J31" s="45">
        <f t="shared" ref="J31" si="24">(I31-F31)/F31</f>
        <v>0.2450540918773218</v>
      </c>
      <c r="K31" s="45">
        <f t="shared" ref="K31" si="25">(I31-G31)/G31</f>
        <v>-0.11890697674418604</v>
      </c>
    </row>
    <row r="32" spans="1:11" x14ac:dyDescent="0.2">
      <c r="A32" s="22"/>
      <c r="B32" s="26" t="s">
        <v>34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2">
      <c r="A33" s="25"/>
      <c r="B33" s="3" t="s">
        <v>15</v>
      </c>
      <c r="C33" s="21">
        <f t="shared" ref="C33" si="26">SUM(C34)</f>
        <v>0</v>
      </c>
      <c r="D33" s="21">
        <f t="shared" ref="D33:G33" si="27">SUM(D34)</f>
        <v>0</v>
      </c>
      <c r="E33" s="21">
        <f t="shared" si="27"/>
        <v>0</v>
      </c>
      <c r="F33" s="21">
        <f t="shared" si="27"/>
        <v>0</v>
      </c>
      <c r="G33" s="21">
        <f t="shared" si="27"/>
        <v>0</v>
      </c>
      <c r="H33" s="21">
        <f>IF(G33=0,0,G33-F33)</f>
        <v>0</v>
      </c>
      <c r="I33" s="21">
        <f t="shared" ref="I33" si="28">SUM(I34)</f>
        <v>0</v>
      </c>
      <c r="J33" s="21">
        <v>0</v>
      </c>
      <c r="K33" s="21">
        <v>0</v>
      </c>
    </row>
    <row r="34" spans="1:11" x14ac:dyDescent="0.2">
      <c r="A34" s="22" t="s">
        <v>53</v>
      </c>
      <c r="B34" s="23" t="s">
        <v>15</v>
      </c>
      <c r="C34" s="21"/>
      <c r="D34" s="21">
        <v>0</v>
      </c>
      <c r="E34" s="21"/>
      <c r="F34" s="21">
        <f>D34+E34</f>
        <v>0</v>
      </c>
      <c r="G34" s="21"/>
      <c r="H34" s="21" t="str">
        <f>IF(G34="","",G34-F34)</f>
        <v/>
      </c>
      <c r="I34" s="21"/>
      <c r="J34" s="21">
        <v>0</v>
      </c>
      <c r="K34" s="21">
        <v>0</v>
      </c>
    </row>
    <row r="35" spans="1:11" x14ac:dyDescent="0.2">
      <c r="A35" s="22"/>
      <c r="B35" s="26" t="s">
        <v>34</v>
      </c>
      <c r="C35" s="24"/>
      <c r="D35" s="24"/>
      <c r="E35" s="34"/>
      <c r="F35" s="34"/>
      <c r="G35" s="34"/>
      <c r="H35" s="34"/>
      <c r="I35" s="34"/>
      <c r="J35" s="34"/>
      <c r="K35" s="34"/>
    </row>
    <row r="36" spans="1:11" ht="15" x14ac:dyDescent="0.25">
      <c r="A36" s="33"/>
      <c r="B36" s="27" t="s">
        <v>16</v>
      </c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5" x14ac:dyDescent="0.25">
      <c r="A37" s="22"/>
      <c r="B37" s="7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">
      <c r="A38" s="25"/>
      <c r="B38" s="29" t="s">
        <v>36</v>
      </c>
      <c r="C38" s="21">
        <f>SUM(C39:C42)</f>
        <v>6783819.2400000012</v>
      </c>
      <c r="D38" s="21">
        <f>SUM(D39:D42)</f>
        <v>6508743.96</v>
      </c>
      <c r="E38" s="21">
        <f>SUM(E39:E42)</f>
        <v>0</v>
      </c>
      <c r="F38" s="21">
        <f>SUM(F39:F42)</f>
        <v>6508743.96</v>
      </c>
      <c r="G38" s="21">
        <f>SUM(G39:G42)</f>
        <v>7300000</v>
      </c>
      <c r="H38" s="21">
        <f t="shared" ref="H38:H59" si="29">F38-G38</f>
        <v>-791256.04</v>
      </c>
      <c r="I38" s="21">
        <f>SUM(I39:I42)</f>
        <v>7735947</v>
      </c>
      <c r="J38" s="44">
        <f t="shared" ref="J38:J41" si="30">(I38-F38)/F38</f>
        <v>0.18854682985563317</v>
      </c>
      <c r="K38" s="44">
        <f t="shared" ref="K38:K41" si="31">(I38-G38)/G38</f>
        <v>5.9718767123287671E-2</v>
      </c>
    </row>
    <row r="39" spans="1:11" x14ac:dyDescent="0.2">
      <c r="A39" s="22" t="s">
        <v>54</v>
      </c>
      <c r="B39" s="23" t="s">
        <v>17</v>
      </c>
      <c r="C39" s="21">
        <v>5582873.7300000004</v>
      </c>
      <c r="D39" s="21">
        <v>5300711.28</v>
      </c>
      <c r="E39" s="21"/>
      <c r="F39" s="21">
        <f>D39+E39</f>
        <v>5300711.28</v>
      </c>
      <c r="G39" s="21">
        <v>6000000</v>
      </c>
      <c r="H39" s="21">
        <f t="shared" si="29"/>
        <v>-699288.71999999974</v>
      </c>
      <c r="I39" s="21">
        <v>6289899</v>
      </c>
      <c r="J39" s="44">
        <f t="shared" si="30"/>
        <v>0.18661414812994676</v>
      </c>
      <c r="K39" s="44">
        <f t="shared" si="31"/>
        <v>4.8316499999999998E-2</v>
      </c>
    </row>
    <row r="40" spans="1:11" x14ac:dyDescent="0.2">
      <c r="A40" s="22" t="s">
        <v>55</v>
      </c>
      <c r="B40" s="23" t="s">
        <v>18</v>
      </c>
      <c r="C40" s="21">
        <v>913748.92</v>
      </c>
      <c r="D40" s="21">
        <v>887869.56</v>
      </c>
      <c r="E40" s="21"/>
      <c r="F40" s="21">
        <f>D40+E40</f>
        <v>887869.56</v>
      </c>
      <c r="G40" s="21">
        <v>955000</v>
      </c>
      <c r="H40" s="21">
        <f t="shared" si="29"/>
        <v>-67130.439999999944</v>
      </c>
      <c r="I40" s="21">
        <v>1072428</v>
      </c>
      <c r="J40" s="44">
        <f t="shared" si="30"/>
        <v>0.20786661500141973</v>
      </c>
      <c r="K40" s="44">
        <f t="shared" si="31"/>
        <v>0.12296125654450261</v>
      </c>
    </row>
    <row r="41" spans="1:11" x14ac:dyDescent="0.2">
      <c r="A41" s="22" t="s">
        <v>56</v>
      </c>
      <c r="B41" s="23" t="s">
        <v>19</v>
      </c>
      <c r="C41" s="21">
        <v>331955.73</v>
      </c>
      <c r="D41" s="21">
        <v>320163.12</v>
      </c>
      <c r="E41" s="21"/>
      <c r="F41" s="21">
        <f>D41+E41</f>
        <v>320163.12</v>
      </c>
      <c r="G41" s="21">
        <v>345000</v>
      </c>
      <c r="H41" s="21">
        <f t="shared" si="29"/>
        <v>-24836.880000000005</v>
      </c>
      <c r="I41" s="21">
        <v>373620</v>
      </c>
      <c r="J41" s="44">
        <f t="shared" si="30"/>
        <v>0.1669676382464039</v>
      </c>
      <c r="K41" s="44">
        <f t="shared" si="31"/>
        <v>8.2956521739130429E-2</v>
      </c>
    </row>
    <row r="42" spans="1:11" x14ac:dyDescent="0.2">
      <c r="A42" s="22" t="s">
        <v>57</v>
      </c>
      <c r="B42" s="23" t="s">
        <v>20</v>
      </c>
      <c r="C42" s="21">
        <v>-44759.14</v>
      </c>
      <c r="D42" s="21"/>
      <c r="E42" s="21"/>
      <c r="F42" s="21">
        <f>D42+E42</f>
        <v>0</v>
      </c>
      <c r="G42" s="21"/>
      <c r="H42" s="21">
        <f t="shared" si="29"/>
        <v>0</v>
      </c>
      <c r="I42" s="21"/>
      <c r="J42" s="44">
        <v>0</v>
      </c>
      <c r="K42" s="44">
        <v>0</v>
      </c>
    </row>
    <row r="43" spans="1:11" x14ac:dyDescent="0.2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</row>
    <row r="44" spans="1:11" x14ac:dyDescent="0.2">
      <c r="A44" s="25"/>
      <c r="B44" s="29" t="s">
        <v>37</v>
      </c>
      <c r="C44" s="21">
        <f t="shared" ref="C44" si="32">SUM(C45:C46)</f>
        <v>1182660.6000000001</v>
      </c>
      <c r="D44" s="21">
        <f t="shared" ref="D44:G44" si="33">SUM(D45:D46)</f>
        <v>865126.92</v>
      </c>
      <c r="E44" s="21">
        <f t="shared" si="33"/>
        <v>0</v>
      </c>
      <c r="F44" s="21">
        <f t="shared" si="33"/>
        <v>865126.92</v>
      </c>
      <c r="G44" s="21">
        <f t="shared" si="33"/>
        <v>1200000</v>
      </c>
      <c r="H44" s="21">
        <f t="shared" ref="H44" si="34">SUM(H45:H46)</f>
        <v>-334873.07999999996</v>
      </c>
      <c r="I44" s="21">
        <f t="shared" ref="I44" si="35">SUM(I45:I46)</f>
        <v>1020806</v>
      </c>
      <c r="J44" s="44">
        <f t="shared" ref="J44:J46" si="36">(I44-F44)/F44</f>
        <v>0.1799494113534231</v>
      </c>
      <c r="K44" s="44">
        <f t="shared" ref="K44:K46" si="37">(I44-G44)/G44</f>
        <v>-0.14932833333333334</v>
      </c>
    </row>
    <row r="45" spans="1:11" x14ac:dyDescent="0.2">
      <c r="A45" s="22" t="s">
        <v>58</v>
      </c>
      <c r="B45" s="23" t="s">
        <v>21</v>
      </c>
      <c r="C45" s="21"/>
      <c r="D45" s="21"/>
      <c r="E45" s="21"/>
      <c r="F45" s="21">
        <f>D45+E45</f>
        <v>0</v>
      </c>
      <c r="G45" s="21"/>
      <c r="H45" s="21">
        <f t="shared" si="29"/>
        <v>0</v>
      </c>
      <c r="I45" s="21"/>
      <c r="J45" s="44">
        <v>0</v>
      </c>
      <c r="K45" s="44">
        <v>0</v>
      </c>
    </row>
    <row r="46" spans="1:11" x14ac:dyDescent="0.2">
      <c r="A46" s="22" t="s">
        <v>59</v>
      </c>
      <c r="B46" s="23" t="s">
        <v>22</v>
      </c>
      <c r="C46" s="21">
        <v>1182660.6000000001</v>
      </c>
      <c r="D46" s="21">
        <v>865126.92</v>
      </c>
      <c r="E46" s="21"/>
      <c r="F46" s="21">
        <f>D46+E46</f>
        <v>865126.92</v>
      </c>
      <c r="G46" s="21">
        <v>1200000</v>
      </c>
      <c r="H46" s="21">
        <f t="shared" si="29"/>
        <v>-334873.07999999996</v>
      </c>
      <c r="I46" s="21">
        <v>1020806</v>
      </c>
      <c r="J46" s="44">
        <f t="shared" si="36"/>
        <v>0.1799494113534231</v>
      </c>
      <c r="K46" s="44">
        <f t="shared" si="37"/>
        <v>-0.14932833333333334</v>
      </c>
    </row>
    <row r="47" spans="1:11" x14ac:dyDescent="0.2">
      <c r="A47" s="22"/>
      <c r="B47" s="23"/>
      <c r="C47" s="24"/>
      <c r="D47" s="24"/>
      <c r="E47" s="24"/>
      <c r="F47" s="24"/>
      <c r="G47" s="24"/>
      <c r="H47" s="24"/>
      <c r="I47" s="24"/>
      <c r="J47" s="24"/>
      <c r="K47" s="24"/>
    </row>
    <row r="48" spans="1:11" x14ac:dyDescent="0.2">
      <c r="A48" s="25"/>
      <c r="B48" s="29" t="s">
        <v>38</v>
      </c>
      <c r="C48" s="21">
        <f t="shared" ref="C48" si="38">SUM(C49:C50)</f>
        <v>521003.27999999997</v>
      </c>
      <c r="D48" s="21">
        <f t="shared" ref="D48:G48" si="39">SUM(D49:D50)</f>
        <v>371224.44</v>
      </c>
      <c r="E48" s="21">
        <f t="shared" si="39"/>
        <v>-8061.96</v>
      </c>
      <c r="F48" s="21">
        <f t="shared" si="39"/>
        <v>363162.48</v>
      </c>
      <c r="G48" s="21">
        <f t="shared" si="39"/>
        <v>700000</v>
      </c>
      <c r="H48" s="21">
        <f t="shared" ref="H48" si="40">SUM(H49:H50)</f>
        <v>-336837.52</v>
      </c>
      <c r="I48" s="21">
        <f t="shared" ref="I48" si="41">SUM(I49:I50)</f>
        <v>556294</v>
      </c>
      <c r="J48" s="44">
        <f t="shared" ref="J48:J49" si="42">(I48-F48)/F48</f>
        <v>0.53180471727145384</v>
      </c>
      <c r="K48" s="44">
        <f t="shared" ref="K48:K49" si="43">(I48-G48)/G48</f>
        <v>-0.20529428571428571</v>
      </c>
    </row>
    <row r="49" spans="1:11" x14ac:dyDescent="0.2">
      <c r="A49" s="22" t="s">
        <v>60</v>
      </c>
      <c r="B49" s="23" t="s">
        <v>23</v>
      </c>
      <c r="C49" s="21">
        <v>521034.61</v>
      </c>
      <c r="D49" s="21">
        <v>371224.44</v>
      </c>
      <c r="E49" s="21">
        <v>-8061.96</v>
      </c>
      <c r="F49" s="21">
        <f>D49+E49</f>
        <v>363162.48</v>
      </c>
      <c r="G49" s="21">
        <v>700000</v>
      </c>
      <c r="H49" s="21">
        <f t="shared" si="29"/>
        <v>-336837.52</v>
      </c>
      <c r="I49" s="21">
        <v>556294</v>
      </c>
      <c r="J49" s="44">
        <f t="shared" si="42"/>
        <v>0.53180471727145384</v>
      </c>
      <c r="K49" s="44">
        <f t="shared" si="43"/>
        <v>-0.20529428571428571</v>
      </c>
    </row>
    <row r="50" spans="1:11" x14ac:dyDescent="0.2">
      <c r="A50" s="22" t="s">
        <v>61</v>
      </c>
      <c r="B50" s="23" t="s">
        <v>24</v>
      </c>
      <c r="C50" s="21">
        <v>-31.33</v>
      </c>
      <c r="D50" s="21"/>
      <c r="E50" s="21"/>
      <c r="F50" s="21">
        <f>D50+E50</f>
        <v>0</v>
      </c>
      <c r="G50" s="21"/>
      <c r="H50" s="21">
        <f t="shared" si="29"/>
        <v>0</v>
      </c>
      <c r="I50" s="21"/>
      <c r="J50" s="44">
        <v>0</v>
      </c>
      <c r="K50" s="44">
        <v>0</v>
      </c>
    </row>
    <row r="51" spans="1:11" x14ac:dyDescent="0.2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</row>
    <row r="52" spans="1:11" x14ac:dyDescent="0.2">
      <c r="A52" s="25"/>
      <c r="B52" s="29" t="s">
        <v>25</v>
      </c>
      <c r="C52" s="21">
        <f t="shared" ref="C52" si="44">SUM(C53:C55)</f>
        <v>4903</v>
      </c>
      <c r="D52" s="21">
        <f t="shared" ref="D52:G52" si="45">SUM(D53:D55)</f>
        <v>4700.04</v>
      </c>
      <c r="E52" s="21">
        <f t="shared" si="45"/>
        <v>0</v>
      </c>
      <c r="F52" s="21">
        <f t="shared" si="45"/>
        <v>4700.04</v>
      </c>
      <c r="G52" s="21">
        <f t="shared" si="45"/>
        <v>1200</v>
      </c>
      <c r="H52" s="21">
        <f t="shared" ref="H52" si="46">SUM(H53:H55)</f>
        <v>3500.04</v>
      </c>
      <c r="I52" s="21">
        <f t="shared" ref="I52" si="47">SUM(I53:I55)</f>
        <v>1200</v>
      </c>
      <c r="J52" s="44">
        <f t="shared" ref="J52:J54" si="48">(I52-F52)/F52</f>
        <v>-0.744683023974264</v>
      </c>
      <c r="K52" s="44">
        <f t="shared" ref="K52:K53" si="49">(I52-G52)/G52</f>
        <v>0</v>
      </c>
    </row>
    <row r="53" spans="1:11" x14ac:dyDescent="0.2">
      <c r="A53" s="22" t="s">
        <v>62</v>
      </c>
      <c r="B53" s="23" t="s">
        <v>26</v>
      </c>
      <c r="C53" s="21">
        <v>1403</v>
      </c>
      <c r="D53" s="21">
        <v>1200</v>
      </c>
      <c r="E53" s="21"/>
      <c r="F53" s="21">
        <f>D53+E53</f>
        <v>1200</v>
      </c>
      <c r="G53" s="21">
        <v>1200</v>
      </c>
      <c r="H53" s="21">
        <f t="shared" si="29"/>
        <v>0</v>
      </c>
      <c r="I53" s="21">
        <v>1200</v>
      </c>
      <c r="J53" s="44">
        <f t="shared" si="48"/>
        <v>0</v>
      </c>
      <c r="K53" s="44">
        <f t="shared" si="49"/>
        <v>0</v>
      </c>
    </row>
    <row r="54" spans="1:11" x14ac:dyDescent="0.2">
      <c r="A54" s="22" t="s">
        <v>63</v>
      </c>
      <c r="B54" s="23" t="s">
        <v>27</v>
      </c>
      <c r="C54" s="21">
        <v>3500</v>
      </c>
      <c r="D54" s="21">
        <v>3500.04</v>
      </c>
      <c r="E54" s="21"/>
      <c r="F54" s="21">
        <f>D54+E54</f>
        <v>3500.04</v>
      </c>
      <c r="G54" s="21"/>
      <c r="H54" s="21">
        <f t="shared" si="29"/>
        <v>3500.04</v>
      </c>
      <c r="I54" s="21"/>
      <c r="J54" s="44">
        <f t="shared" si="48"/>
        <v>-1</v>
      </c>
      <c r="K54" s="44">
        <v>0</v>
      </c>
    </row>
    <row r="55" spans="1:11" x14ac:dyDescent="0.2">
      <c r="A55" s="22" t="s">
        <v>64</v>
      </c>
      <c r="B55" s="23" t="s">
        <v>28</v>
      </c>
      <c r="C55" s="21"/>
      <c r="D55" s="21">
        <v>0</v>
      </c>
      <c r="E55" s="21"/>
      <c r="F55" s="21">
        <f>D55+E55</f>
        <v>0</v>
      </c>
      <c r="G55" s="21"/>
      <c r="H55" s="21">
        <f t="shared" si="29"/>
        <v>0</v>
      </c>
      <c r="I55" s="21"/>
      <c r="J55" s="44">
        <v>0</v>
      </c>
      <c r="K55" s="44">
        <v>0</v>
      </c>
    </row>
    <row r="56" spans="1:11" x14ac:dyDescent="0.2">
      <c r="A56" s="22"/>
      <c r="B56" s="23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2">
      <c r="A57" s="25"/>
      <c r="B57" s="29" t="s">
        <v>29</v>
      </c>
      <c r="C57" s="21">
        <f t="shared" ref="C57" si="50">SUM(C58:C59)</f>
        <v>2026242.05</v>
      </c>
      <c r="D57" s="21">
        <f t="shared" ref="D57:G57" si="51">SUM(D58:D59)</f>
        <v>1969249.08</v>
      </c>
      <c r="E57" s="21">
        <f t="shared" si="51"/>
        <v>0</v>
      </c>
      <c r="F57" s="21">
        <f t="shared" si="51"/>
        <v>1969249.08</v>
      </c>
      <c r="G57" s="21">
        <f t="shared" si="51"/>
        <v>2040000</v>
      </c>
      <c r="H57" s="21">
        <f t="shared" ref="H57" si="52">SUM(H58:H59)</f>
        <v>-70750.920000000042</v>
      </c>
      <c r="I57" s="21">
        <f t="shared" ref="I57" si="53">SUM(I58:I59)</f>
        <v>1158634</v>
      </c>
      <c r="J57" s="44">
        <f t="shared" ref="J57:J59" si="54">(I57-F57)/F57</f>
        <v>-0.41163664273490486</v>
      </c>
      <c r="K57" s="44">
        <f t="shared" ref="K57:K59" si="55">(I57-G57)/G57</f>
        <v>-0.43204215686274511</v>
      </c>
    </row>
    <row r="58" spans="1:11" x14ac:dyDescent="0.2">
      <c r="A58" s="22" t="s">
        <v>65</v>
      </c>
      <c r="B58" s="23" t="s">
        <v>30</v>
      </c>
      <c r="C58" s="21">
        <v>1951604.3</v>
      </c>
      <c r="D58" s="21">
        <v>1878960.96</v>
      </c>
      <c r="E58" s="21"/>
      <c r="F58" s="21">
        <f>D58+E58</f>
        <v>1878960.96</v>
      </c>
      <c r="G58" s="21">
        <v>2000000</v>
      </c>
      <c r="H58" s="21">
        <f t="shared" si="29"/>
        <v>-121039.04000000004</v>
      </c>
      <c r="I58" s="21">
        <v>2231714</v>
      </c>
      <c r="J58" s="44">
        <f t="shared" si="54"/>
        <v>0.18773835513857617</v>
      </c>
      <c r="K58" s="44">
        <f t="shared" si="55"/>
        <v>0.115857</v>
      </c>
    </row>
    <row r="59" spans="1:11" x14ac:dyDescent="0.2">
      <c r="A59" s="22" t="s">
        <v>66</v>
      </c>
      <c r="B59" s="23" t="s">
        <v>31</v>
      </c>
      <c r="C59" s="21">
        <v>74637.75</v>
      </c>
      <c r="D59" s="21">
        <v>90288.12</v>
      </c>
      <c r="E59" s="21"/>
      <c r="F59" s="21">
        <f>D59+E59</f>
        <v>90288.12</v>
      </c>
      <c r="G59" s="21">
        <v>40000</v>
      </c>
      <c r="H59" s="21">
        <f t="shared" si="29"/>
        <v>50288.119999999995</v>
      </c>
      <c r="I59" s="21">
        <v>-1073080</v>
      </c>
      <c r="J59" s="44">
        <f t="shared" si="54"/>
        <v>-12.885063062560171</v>
      </c>
      <c r="K59" s="44">
        <f t="shared" si="55"/>
        <v>-27.827000000000002</v>
      </c>
    </row>
    <row r="60" spans="1:11" x14ac:dyDescent="0.2">
      <c r="A60" s="22"/>
      <c r="B60" s="26" t="s">
        <v>34</v>
      </c>
      <c r="C60" s="24"/>
      <c r="D60" s="24"/>
      <c r="E60" s="34"/>
      <c r="F60" s="34"/>
      <c r="G60" s="34"/>
      <c r="H60" s="34"/>
      <c r="I60" s="34"/>
      <c r="J60" s="34"/>
      <c r="K60" s="34"/>
    </row>
    <row r="61" spans="1:11" ht="15" x14ac:dyDescent="0.25">
      <c r="A61" s="33"/>
      <c r="B61" s="27" t="s">
        <v>32</v>
      </c>
      <c r="C61" s="28">
        <f t="shared" ref="C61" si="56">C57+C52+C48+C44+C38</f>
        <v>10518628.170000002</v>
      </c>
      <c r="D61" s="28">
        <f t="shared" ref="D61:G61" si="57">D57+D52+D48+D44+D38</f>
        <v>9719044.4399999995</v>
      </c>
      <c r="E61" s="28">
        <f t="shared" si="57"/>
        <v>-8061.96</v>
      </c>
      <c r="F61" s="28">
        <f t="shared" si="57"/>
        <v>9710982.4800000004</v>
      </c>
      <c r="G61" s="28">
        <f t="shared" si="57"/>
        <v>11241200</v>
      </c>
      <c r="H61" s="28">
        <f t="shared" ref="H61" si="58">F61-G61</f>
        <v>-1530217.5199999996</v>
      </c>
      <c r="I61" s="28">
        <f t="shared" ref="I61" si="59">I57+I52+I48+I44+I38</f>
        <v>10472881</v>
      </c>
      <c r="J61" s="45">
        <f t="shared" ref="J61" si="60">(I61-F61)/F61</f>
        <v>7.8457408564905531E-2</v>
      </c>
      <c r="K61" s="45">
        <f t="shared" ref="K61" si="61">(I61-G61)/G61</f>
        <v>-6.8348485926769384E-2</v>
      </c>
    </row>
    <row r="62" spans="1:11" x14ac:dyDescent="0.2">
      <c r="A62" s="22"/>
      <c r="B62" s="4" t="s">
        <v>34</v>
      </c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15" x14ac:dyDescent="0.25">
      <c r="A63" s="33"/>
      <c r="B63" s="27" t="s">
        <v>33</v>
      </c>
      <c r="C63" s="28">
        <f t="shared" ref="C63" si="62">C31+C33-C61</f>
        <v>-6704857.7800000012</v>
      </c>
      <c r="D63" s="28">
        <f t="shared" ref="D63:G63" si="63">D31+D33-D61</f>
        <v>-6676044.1199999992</v>
      </c>
      <c r="E63" s="28">
        <f t="shared" si="63"/>
        <v>8061.96</v>
      </c>
      <c r="F63" s="28">
        <f t="shared" si="63"/>
        <v>-6667982.1600000001</v>
      </c>
      <c r="G63" s="28">
        <f t="shared" si="63"/>
        <v>-6941200</v>
      </c>
      <c r="H63" s="28">
        <f t="shared" ref="H63" si="64">H31-H61</f>
        <v>273217.83999999985</v>
      </c>
      <c r="I63" s="28">
        <f t="shared" ref="I63" si="65">I31+I33-I61</f>
        <v>-6684181</v>
      </c>
      <c r="J63" s="45">
        <f t="shared" ref="J63" si="66">(I63-F63)/F63</f>
        <v>2.4293466316052427E-3</v>
      </c>
      <c r="K63" s="45">
        <f t="shared" ref="K63" si="67">(I63-G63)/G63</f>
        <v>-3.7028035498184751E-2</v>
      </c>
    </row>
    <row r="64" spans="1:11" x14ac:dyDescent="0.2">
      <c r="A64" s="22"/>
      <c r="B64" s="26" t="s">
        <v>34</v>
      </c>
      <c r="C64" s="24"/>
      <c r="D64" s="24"/>
      <c r="E64" s="24"/>
      <c r="F64" s="24"/>
      <c r="G64" s="24"/>
      <c r="H64" s="24"/>
      <c r="I64" s="24"/>
      <c r="J64" s="24"/>
      <c r="K64" s="24"/>
    </row>
    <row r="66" spans="10:11" x14ac:dyDescent="0.2">
      <c r="J66" s="41"/>
      <c r="K66" s="41"/>
    </row>
  </sheetData>
  <phoneticPr fontId="7" type="noConversion"/>
  <pageMargins left="0.78740157480314965" right="0.78740157480314965" top="0.78740157480314965" bottom="0.78740157480314965" header="0.51181102362204722" footer="0.51181102362204722"/>
  <pageSetup paperSize="9" scale="48" orientation="portrait" r:id="rId1"/>
  <headerFooter alignWithMargins="0">
    <oddHeader>&amp;R&amp;D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sitysaineistot Turku" ma:contentTypeID="0x010100BABE01DC4AF04CBC98B987127D9FC69A010086713F62288E354CB7CE41AFC757A4B5" ma:contentTypeVersion="135" ma:contentTypeDescription="Luo uusi asiakirja." ma:contentTypeScope="" ma:versionID="89c4c9e68141cfee3dfaa9693d5c1244">
  <xsd:schema xmlns:xsd="http://www.w3.org/2001/XMLSchema" xmlns:xs="http://www.w3.org/2001/XMLSchema" xmlns:p="http://schemas.microsoft.com/office/2006/metadata/properties" xmlns:ns1="http://schemas.microsoft.com/sharepoint/v3" xmlns:ns2="b03131df-fdca-4f96-b491-cb071e0af91d" targetNamespace="http://schemas.microsoft.com/office/2006/metadata/properties" ma:root="true" ma:fieldsID="e93f0b59361f0504021c6b927d797a45" ns1:_="" ns2:_="">
    <xsd:import namespace="http://schemas.microsoft.com/sharepoint/v3"/>
    <xsd:import namespace="b03131df-fdca-4f96-b491-cb071e0af91d"/>
    <xsd:element name="properties">
      <xsd:complexType>
        <xsd:sequence>
          <xsd:element name="documentManagement">
            <xsd:complexType>
              <xsd:all>
                <xsd:element ref="ns2:_Julkisuus_" minOccurs="0"/>
                <xsd:element ref="ns2:Esittäjä"/>
                <xsd:element ref="ns2:Esityspvm"/>
                <xsd:element ref="ns2:Kuvaaja_x002f_tekijä" minOccurs="0"/>
                <xsd:element ref="ns2:_dlc_DocIdUrl" minOccurs="0"/>
                <xsd:element ref="ns2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2:h94c21d59b064f78a5c2e322551a3e88" minOccurs="0"/>
                <xsd:element ref="ns2:TaxCatchAll" minOccurs="0"/>
                <xsd:element ref="ns2:TaxCatchAllLabel" minOccurs="0"/>
                <xsd:element ref="ns2:_dlc_DocId" minOccurs="0"/>
                <xsd:element ref="ns2:Kuvaus_x0020_" minOccurs="0"/>
                <xsd:element ref="ns2:_kuva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Vapauta käytännöstä" ma:hidden="true" ma:internalName="_dlc_Exempt" ma:readOnly="true">
      <xsd:simpleType>
        <xsd:restriction base="dms:Unknown"/>
      </xsd:simpleType>
    </xsd:element>
    <xsd:element name="_dlc_ExpireDateSaved" ma:index="11" nillable="true" ma:displayName="Alkuperäinen vanhenemispäivämäärä" ma:hidden="true" ma:internalName="_dlc_ExpireDateSaved" ma:readOnly="true">
      <xsd:simpleType>
        <xsd:restriction base="dms:DateTime"/>
      </xsd:simpleType>
    </xsd:element>
    <xsd:element name="_dlc_ExpireDate" ma:index="12" nillable="true" ma:displayName="Vanhenemispäivämäärä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131df-fdca-4f96-b491-cb071e0af91d" elementFormDefault="qualified">
    <xsd:import namespace="http://schemas.microsoft.com/office/2006/documentManagement/types"/>
    <xsd:import namespace="http://schemas.microsoft.com/office/infopath/2007/PartnerControls"/>
    <xsd:element name="_Julkisuus_" ma:index="1" nillable="true" ma:displayName="Julkisuus" ma:default="Julkinen" ma:format="Dropdown" ma:internalName="_Julkisuus_">
      <xsd:simpleType>
        <xsd:restriction base="dms:Choice">
          <xsd:enumeration value="Julkinen"/>
          <xsd:enumeration value="Salassa pidettävä"/>
        </xsd:restriction>
      </xsd:simpleType>
    </xsd:element>
    <xsd:element name="Esittäjä" ma:index="2" ma:displayName="Esittäjä" ma:description="Sukunimi Etunimi" ma:internalName="Esitt_x00e4_j_x00e4_">
      <xsd:simpleType>
        <xsd:restriction base="dms:Text">
          <xsd:maxLength value="255"/>
        </xsd:restriction>
      </xsd:simpleType>
    </xsd:element>
    <xsd:element name="Esityspvm" ma:index="3" ma:displayName="Esityspvm" ma:format="DateOnly" ma:internalName="Esityspvm">
      <xsd:simpleType>
        <xsd:restriction base="dms:DateTime"/>
      </xsd:simpleType>
    </xsd:element>
    <xsd:element name="Kuvaaja_x002f_tekijä" ma:index="4" nillable="true" ma:displayName="Esityksen tekijä" ma:description="Sukunimi Etunimi" ma:internalName="Kuvaaja_x002F_tekij_x00e4_">
      <xsd:simpleType>
        <xsd:restriction base="dms:Text">
          <xsd:maxLength value="255"/>
        </xsd:restriction>
      </xsd:simpleType>
    </xsd:element>
    <xsd:element name="_dlc_DocIdUrl" ma:index="7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94c21d59b064f78a5c2e322551a3e88" ma:index="16" ma:taxonomy="true" ma:internalName="h94c21d59b064f78a5c2e322551a3e88" ma:taxonomyFieldName="_Esitysaineistojen_x0020_tyyppi" ma:displayName="Esitysaineistojen tyyppi" ma:default="4;#Diaesitys|29bf125c-3304-4b20-a038-e327a30ca536" ma:fieldId="{194c21d5-9b06-4f78-a5c2-e322551a3e88}" ma:sspId="6948e327-c22f-45f3-ba73-76ec8822dedd" ma:termSetId="00285b88-a0b1-4370-9403-3097d0814a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2463b85d-2072-414b-8629-83c340b48517}" ma:internalName="TaxCatchAll" ma:showField="CatchAllData" ma:web="bea15e65-8c78-441e-8ae4-ac197ad4cd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2463b85d-2072-414b-8629-83c340b48517}" ma:internalName="TaxCatchAllLabel" ma:readOnly="true" ma:showField="CatchAllDataLabel" ma:web="bea15e65-8c78-441e-8ae4-ac197ad4cd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2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Kuvaus_x0020_" ma:index="23" nillable="true" ma:displayName="Kuvaus " ma:internalName="Kuvaus_x0020_">
      <xsd:simpleType>
        <xsd:restriction base="dms:Note">
          <xsd:maxLength value="255"/>
        </xsd:restriction>
      </xsd:simpleType>
    </xsd:element>
    <xsd:element name="_kuvaus" ma:index="25" nillable="true" ma:displayName="Kuvaus" ma:internalName="_kuvaus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4c21d59b064f78a5c2e322551a3e88 xmlns="b03131df-fdca-4f96-b491-cb071e0af9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esitys</TermName>
          <TermId xmlns="http://schemas.microsoft.com/office/infopath/2007/PartnerControls">fcb1488e-ddbc-40a0-b24c-a66e42785545</TermId>
        </TermInfo>
      </Terms>
    </h94c21d59b064f78a5c2e322551a3e88>
    <Kuvaaja_x002f_tekijä xmlns="b03131df-fdca-4f96-b491-cb071e0af91d" xsi:nil="true"/>
    <Esityspvm xmlns="b03131df-fdca-4f96-b491-cb071e0af91d">2014-09-09T21:00:00+00:00</Esityspvm>
    <_Julkisuus_ xmlns="b03131df-fdca-4f96-b491-cb071e0af91d">Julkinen</_Julkisuus_>
    <TaxCatchAll xmlns="b03131df-fdca-4f96-b491-cb071e0af91d">
      <Value>20</Value>
      <Value>3</Value>
      <Value>2</Value>
      <Value>1</Value>
    </TaxCatchAll>
    <_kuvaus xmlns="b03131df-fdca-4f96-b491-cb071e0af91d" xsi:nil="true"/>
    <Kuvaus_x0020_ xmlns="b03131df-fdca-4f96-b491-cb071e0af91d">Lautakunnan päätös 10.9.2014</Kuvaus_x0020_>
    <Esittäjä xmlns="b03131df-fdca-4f96-b491-cb071e0af91d">Jalonen Timo</Esittäjä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6948e327-c22f-45f3-ba73-76ec8822dedd" ContentTypeId="0x010100BABE01DC4AF04CBC98B987127D9FC69A01" PreviousValue="false"/>
</file>

<file path=customXml/itemProps1.xml><?xml version="1.0" encoding="utf-8"?>
<ds:datastoreItem xmlns:ds="http://schemas.openxmlformats.org/officeDocument/2006/customXml" ds:itemID="{90D9A2A3-040E-40F2-B4A4-936B36396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03131df-fdca-4f96-b491-cb071e0af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224AA-A44F-4BAE-B40A-9DA71724C2F7}">
  <ds:schemaRefs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b03131df-fdca-4f96-b491-cb071e0af91d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D4C8DC-161D-448B-86CD-4A2C879494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EF7FD8-F1AD-4E5F-839A-8A111751FF6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7CD3B3B-C321-4B92-A285-BF3E2882029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</vt:i4>
      </vt:variant>
    </vt:vector>
  </HeadingPairs>
  <TitlesOfParts>
    <vt:vector size="11" baseType="lpstr">
      <vt:lpstr>VAPELK</vt:lpstr>
      <vt:lpstr>VAL YHT</vt:lpstr>
      <vt:lpstr>VAKAOP</vt:lpstr>
      <vt:lpstr>VAVARKPA</vt:lpstr>
      <vt:lpstr>VAPERUSO</vt:lpstr>
      <vt:lpstr>VARUKAOP </vt:lpstr>
      <vt:lpstr>LALUKIOT</vt:lpstr>
      <vt:lpstr>LAMMATIT </vt:lpstr>
      <vt:lpstr>LAIKUIS</vt:lpstr>
      <vt:lpstr>INVESTOINTIOSA </vt:lpstr>
      <vt:lpstr>'INVESTOINTIOSA '!Tulostusalue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Valtteri Mikkola</dc:creator>
  <cp:lastModifiedBy>Lehmusto Hanna</cp:lastModifiedBy>
  <cp:lastPrinted>2014-09-15T09:36:50Z</cp:lastPrinted>
  <dcterms:created xsi:type="dcterms:W3CDTF">2010-05-19T10:31:59Z</dcterms:created>
  <dcterms:modified xsi:type="dcterms:W3CDTF">2014-09-16T12:16:48Z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0x010100BABE01DC4AF04CBC98B987127D9FC69A010086713F62288E354CB7CE41AFC757A4B5</vt:lpwstr>
  </property>
  <property fmtid="{D5CDD505-2E9C-101B-9397-08002B2CF9AE}" pid="3" name="h94c21d59b064f78a5c2e322551a3e88">
    <vt:lpwstr>Diaesitys|29bf125c-3304-4b20-a038-e327a30ca536</vt:lpwstr>
  </property>
  <property fmtid="{D5CDD505-2E9C-101B-9397-08002B2CF9AE}" pid="4" name="j08d1eaf84c644719eb3d45d656088a2">
    <vt:lpwstr>Videokuva|82098cdd-6e57-4a24-8887-90ce7bab4a54</vt:lpwstr>
  </property>
  <property fmtid="{D5CDD505-2E9C-101B-9397-08002B2CF9AE}" pid="5" name="TaxCatchAll">
    <vt:lpwstr>4;#Diaesitys;#3;#Äänitiedosto;#2;#Videokuva;#1;#Suomi</vt:lpwstr>
  </property>
  <property fmtid="{D5CDD505-2E9C-101B-9397-08002B2CF9AE}" pid="6" name="ec87dd8dbe3f4b87b196639a53969ad4">
    <vt:lpwstr>Suomi|ddab1725-3888-478f-9c8c-3eeceecd16e9</vt:lpwstr>
  </property>
  <property fmtid="{D5CDD505-2E9C-101B-9397-08002B2CF9AE}" pid="7" name="bcb735522fc34cde8200f6a746f2dda6">
    <vt:lpwstr>Äänitiedosto|2ce7008b-f285-403a-bd25-9c3fffad5372</vt:lpwstr>
  </property>
  <property fmtid="{D5CDD505-2E9C-101B-9397-08002B2CF9AE}" pid="8" name="_Kieli">
    <vt:lpwstr>1;#Suomi|ddab1725-3888-478f-9c8c-3eeceecd16e9</vt:lpwstr>
  </property>
  <property fmtid="{D5CDD505-2E9C-101B-9397-08002B2CF9AE}" pid="9" name="URL">
    <vt:lpwstr>, </vt:lpwstr>
  </property>
  <property fmtid="{D5CDD505-2E9C-101B-9397-08002B2CF9AE}" pid="10" name="_Esitysaineistojen tyyppi">
    <vt:lpwstr>20;#Muu esitys|fcb1488e-ddbc-40a0-b24c-a66e42785545</vt:lpwstr>
  </property>
  <property fmtid="{D5CDD505-2E9C-101B-9397-08002B2CF9AE}" pid="11" name="Videotiedoston_x0020_tyyppi">
    <vt:lpwstr>2;#Videokuva|82098cdd-6e57-4a24-8887-90ce7bab4a54</vt:lpwstr>
  </property>
  <property fmtid="{D5CDD505-2E9C-101B-9397-08002B2CF9AE}" pid="12" name="__x00c4__x00e4_nitiedoston_x0020_tyyppi">
    <vt:lpwstr>3;#Äänitiedosto|2ce7008b-f285-403a-bd25-9c3fffad5372</vt:lpwstr>
  </property>
  <property fmtid="{D5CDD505-2E9C-101B-9397-08002B2CF9AE}" pid="13" name="_Äänitiedoston tyyppi">
    <vt:lpwstr>3;#Äänitiedosto|2ce7008b-f285-403a-bd25-9c3fffad5372</vt:lpwstr>
  </property>
  <property fmtid="{D5CDD505-2E9C-101B-9397-08002B2CF9AE}" pid="14" name="Videotiedoston tyyppi">
    <vt:lpwstr>2;#Videokuva|82098cdd-6e57-4a24-8887-90ce7bab4a54</vt:lpwstr>
  </property>
</Properties>
</file>