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255" windowWidth="15360" windowHeight="8205" tabRatio="756"/>
  </bookViews>
  <sheets>
    <sheet name="VAPELK YHT" sheetId="68" r:id="rId1"/>
    <sheet name="VAPELK" sheetId="62" r:id="rId2"/>
    <sheet name="VAL YHT" sheetId="61" r:id="rId3"/>
    <sheet name="VAKAOP" sheetId="60" r:id="rId4"/>
    <sheet name="VAVARKPA" sheetId="59" r:id="rId5"/>
    <sheet name="VAPERUSO" sheetId="64" r:id="rId6"/>
    <sheet name="VARUKAOP" sheetId="63" r:id="rId7"/>
    <sheet name="LALUKIOT" sheetId="65" r:id="rId8"/>
    <sheet name="LAMMATIT" sheetId="66" r:id="rId9"/>
    <sheet name="LAIKUIS" sheetId="58" r:id="rId10"/>
  </sheets>
  <definedNames>
    <definedName name="EV__EVCOM_OPTIONS__" hidden="1">8</definedName>
    <definedName name="EV__EXPOPTIONS__" hidden="1">1</definedName>
    <definedName name="EV__LASTREFTIME__" hidden="1">"(GMT+02:00)18.5.2010 13:51:16"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134217780</definedName>
    <definedName name="EV__WBVERSION__" hidden="1">0</definedName>
    <definedName name="MEWarning" hidden="1">1</definedName>
  </definedNames>
  <calcPr calcId="145621"/>
</workbook>
</file>

<file path=xl/calcChain.xml><?xml version="1.0" encoding="utf-8"?>
<calcChain xmlns="http://schemas.openxmlformats.org/spreadsheetml/2006/main">
  <c r="C58" i="63" l="1"/>
  <c r="C99" i="63"/>
  <c r="C46" i="63"/>
  <c r="C42" i="63"/>
  <c r="C41" i="63"/>
  <c r="C40" i="63"/>
  <c r="C39" i="63"/>
  <c r="C59" i="63"/>
  <c r="C49" i="63"/>
  <c r="C58" i="58"/>
  <c r="C99" i="59"/>
  <c r="C58" i="59"/>
  <c r="C46" i="59"/>
  <c r="C42" i="59"/>
  <c r="C41" i="59"/>
  <c r="C40" i="59"/>
  <c r="C39" i="59"/>
  <c r="C99" i="64"/>
  <c r="C58" i="64"/>
  <c r="C46" i="64"/>
  <c r="C42" i="64"/>
  <c r="C41" i="64"/>
  <c r="C40" i="64"/>
  <c r="C39" i="64"/>
  <c r="C59" i="60"/>
  <c r="C58" i="60"/>
  <c r="C49" i="60"/>
  <c r="C46" i="60"/>
  <c r="C41" i="60"/>
  <c r="C40" i="60"/>
  <c r="C39" i="60"/>
  <c r="C42" i="68" l="1"/>
  <c r="C40" i="68"/>
  <c r="D40" i="68"/>
  <c r="B40" i="68"/>
  <c r="D37" i="68"/>
  <c r="D11" i="68"/>
  <c r="D24" i="68"/>
  <c r="D23" i="68"/>
  <c r="D22" i="68"/>
  <c r="D21" i="68"/>
  <c r="D20" i="68"/>
  <c r="D26" i="68" l="1"/>
  <c r="E54" i="68"/>
  <c r="F54" i="68"/>
  <c r="G54" i="68"/>
  <c r="E46" i="68"/>
  <c r="F46" i="68"/>
  <c r="G46" i="68"/>
  <c r="E44" i="68"/>
  <c r="F44" i="68"/>
  <c r="G44" i="68"/>
  <c r="B42" i="68"/>
  <c r="C41" i="68"/>
  <c r="B41" i="68"/>
  <c r="C39" i="68"/>
  <c r="B39" i="68"/>
  <c r="C38" i="68"/>
  <c r="B38" i="68"/>
  <c r="E36" i="68"/>
  <c r="F36" i="68"/>
  <c r="G36" i="68"/>
  <c r="C37" i="68"/>
  <c r="B37" i="68"/>
  <c r="C36" i="68"/>
  <c r="B36" i="68"/>
  <c r="F31" i="68"/>
  <c r="G31" i="68"/>
  <c r="E31" i="68"/>
  <c r="E30" i="68"/>
  <c r="F30" i="68"/>
  <c r="G30" i="68"/>
  <c r="F14" i="68" l="1"/>
  <c r="G14" i="68"/>
  <c r="C18" i="68"/>
  <c r="D18" i="68"/>
  <c r="E18" i="68"/>
  <c r="F18" i="68"/>
  <c r="G18" i="68"/>
  <c r="B18" i="68"/>
  <c r="C34" i="68"/>
  <c r="B34" i="68"/>
  <c r="C33" i="68"/>
  <c r="B33" i="68"/>
  <c r="C32" i="68"/>
  <c r="B32" i="68"/>
  <c r="C31" i="68"/>
  <c r="C30" i="68" s="1"/>
  <c r="C44" i="68" s="1"/>
  <c r="C46" i="68" s="1"/>
  <c r="C54" i="68" s="1"/>
  <c r="B31" i="68"/>
  <c r="B30" i="68" s="1"/>
  <c r="C24" i="68"/>
  <c r="B24" i="68"/>
  <c r="C23" i="68"/>
  <c r="B23" i="68"/>
  <c r="C22" i="68"/>
  <c r="B22" i="68"/>
  <c r="C21" i="68"/>
  <c r="B21" i="68"/>
  <c r="C20" i="68"/>
  <c r="C26" i="68" s="1"/>
  <c r="C11" i="68" s="1"/>
  <c r="B20" i="68"/>
  <c r="B26" i="68" s="1"/>
  <c r="B11" i="68" s="1"/>
  <c r="C13" i="68"/>
  <c r="E101" i="62"/>
  <c r="E100" i="62"/>
  <c r="E61" i="62"/>
  <c r="D42" i="68" s="1"/>
  <c r="E60" i="62"/>
  <c r="D41" i="68" s="1"/>
  <c r="E57" i="62"/>
  <c r="E56" i="62"/>
  <c r="E55" i="62"/>
  <c r="E52" i="62"/>
  <c r="E51" i="62"/>
  <c r="E48" i="62"/>
  <c r="D38" i="68" s="1"/>
  <c r="D36" i="68" s="1"/>
  <c r="E47" i="62"/>
  <c r="E44" i="62"/>
  <c r="D34" i="68" s="1"/>
  <c r="E43" i="62"/>
  <c r="D33" i="68" s="1"/>
  <c r="E42" i="62"/>
  <c r="D32" i="68" s="1"/>
  <c r="E41" i="62"/>
  <c r="D31" i="68" s="1"/>
  <c r="E31" i="62"/>
  <c r="E28" i="62"/>
  <c r="E25" i="62"/>
  <c r="E18" i="62"/>
  <c r="E19" i="62"/>
  <c r="E20" i="62"/>
  <c r="E21" i="62"/>
  <c r="E22" i="62"/>
  <c r="E17" i="62"/>
  <c r="E12" i="62"/>
  <c r="E13" i="62"/>
  <c r="E14" i="62"/>
  <c r="E11" i="62"/>
  <c r="D30" i="68" l="1"/>
  <c r="B44" i="68"/>
  <c r="C12" i="68"/>
  <c r="C40" i="62"/>
  <c r="B12" i="68" l="1"/>
  <c r="B46" i="68"/>
  <c r="C48" i="60"/>
  <c r="B54" i="68" l="1"/>
  <c r="B13" i="68"/>
  <c r="C14" i="68" s="1"/>
  <c r="C74" i="66"/>
  <c r="C70" i="66"/>
  <c r="C65" i="66"/>
  <c r="C57" i="66"/>
  <c r="C52" i="66"/>
  <c r="C48" i="66"/>
  <c r="C44" i="66"/>
  <c r="C38" i="66"/>
  <c r="C33" i="66"/>
  <c r="C28" i="66"/>
  <c r="C25" i="66"/>
  <c r="C22" i="66"/>
  <c r="C14" i="66"/>
  <c r="C8" i="66"/>
  <c r="C74" i="65"/>
  <c r="C70" i="65"/>
  <c r="C65" i="65"/>
  <c r="C57" i="65"/>
  <c r="C52" i="65"/>
  <c r="C48" i="65"/>
  <c r="C44" i="65"/>
  <c r="C38" i="65"/>
  <c r="C33" i="65"/>
  <c r="C28" i="65"/>
  <c r="C25" i="65"/>
  <c r="C22" i="65"/>
  <c r="C14" i="65"/>
  <c r="C8" i="65"/>
  <c r="C74" i="64"/>
  <c r="C70" i="64"/>
  <c r="C65" i="64"/>
  <c r="C57" i="64"/>
  <c r="C52" i="64"/>
  <c r="C48" i="64"/>
  <c r="C44" i="64"/>
  <c r="C38" i="64"/>
  <c r="C33" i="64"/>
  <c r="C28" i="64"/>
  <c r="C25" i="64"/>
  <c r="C22" i="64"/>
  <c r="C14" i="64"/>
  <c r="C8" i="64"/>
  <c r="C74" i="63"/>
  <c r="C70" i="63"/>
  <c r="C65" i="63"/>
  <c r="C57" i="63"/>
  <c r="C52" i="63"/>
  <c r="C48" i="63"/>
  <c r="C44" i="63"/>
  <c r="C38" i="63"/>
  <c r="C33" i="63"/>
  <c r="C28" i="63"/>
  <c r="C25" i="63"/>
  <c r="C22" i="63"/>
  <c r="C14" i="63"/>
  <c r="C8" i="63"/>
  <c r="H101" i="62"/>
  <c r="H100" i="62"/>
  <c r="H79" i="62"/>
  <c r="H78" i="62"/>
  <c r="H77" i="62"/>
  <c r="H76" i="62" s="1"/>
  <c r="H74" i="62"/>
  <c r="H73" i="62"/>
  <c r="H72" i="62" s="1"/>
  <c r="H70" i="62"/>
  <c r="H69" i="62"/>
  <c r="H68" i="62"/>
  <c r="H57" i="62"/>
  <c r="H52" i="62"/>
  <c r="H36" i="62"/>
  <c r="H35" i="62" s="1"/>
  <c r="H30" i="62"/>
  <c r="H27" i="62"/>
  <c r="H24" i="62"/>
  <c r="H21" i="62"/>
  <c r="H18" i="62"/>
  <c r="H17" i="62"/>
  <c r="G101" i="62"/>
  <c r="G100" i="62"/>
  <c r="G79" i="62"/>
  <c r="G78" i="62"/>
  <c r="G77" i="62"/>
  <c r="G74" i="62"/>
  <c r="G73" i="62"/>
  <c r="G70" i="62"/>
  <c r="G69" i="62"/>
  <c r="G68" i="62"/>
  <c r="G57" i="62"/>
  <c r="G52" i="62"/>
  <c r="G36" i="62"/>
  <c r="G35" i="62" s="1"/>
  <c r="G30" i="62"/>
  <c r="G27" i="62"/>
  <c r="G24" i="62"/>
  <c r="G21" i="62"/>
  <c r="G18" i="62"/>
  <c r="G17" i="62"/>
  <c r="G10" i="62"/>
  <c r="F101" i="62"/>
  <c r="F100" i="62"/>
  <c r="F79" i="62"/>
  <c r="F78" i="62"/>
  <c r="F77" i="62"/>
  <c r="F74" i="62"/>
  <c r="F73" i="62"/>
  <c r="F70" i="62"/>
  <c r="F69" i="62"/>
  <c r="F68" i="62"/>
  <c r="F57" i="62"/>
  <c r="F52" i="62"/>
  <c r="F36" i="62"/>
  <c r="F35" i="62" s="1"/>
  <c r="F30" i="62"/>
  <c r="F27" i="62"/>
  <c r="F24" i="62"/>
  <c r="F21" i="62"/>
  <c r="F18" i="62"/>
  <c r="F17" i="62"/>
  <c r="F10" i="62" l="1"/>
  <c r="F16" i="62"/>
  <c r="F40" i="62"/>
  <c r="F46" i="62"/>
  <c r="F50" i="62"/>
  <c r="F54" i="62"/>
  <c r="F72" i="62"/>
  <c r="F76" i="62"/>
  <c r="G59" i="62"/>
  <c r="G67" i="62"/>
  <c r="H46" i="62"/>
  <c r="H54" i="62"/>
  <c r="C61" i="65"/>
  <c r="C31" i="65"/>
  <c r="C61" i="63"/>
  <c r="C31" i="63"/>
  <c r="C31" i="66"/>
  <c r="C61" i="66"/>
  <c r="G16" i="62"/>
  <c r="G33" i="62" s="1"/>
  <c r="G40" i="62"/>
  <c r="G46" i="62"/>
  <c r="G50" i="62"/>
  <c r="G54" i="62"/>
  <c r="G76" i="62"/>
  <c r="F59" i="62"/>
  <c r="C31" i="64"/>
  <c r="C61" i="64"/>
  <c r="H16" i="62"/>
  <c r="H40" i="62"/>
  <c r="G72" i="62"/>
  <c r="H10" i="62"/>
  <c r="H50" i="62"/>
  <c r="H59" i="62"/>
  <c r="F67" i="62"/>
  <c r="H67" i="62"/>
  <c r="F33" i="62"/>
  <c r="E36" i="62"/>
  <c r="E35" i="62" s="1"/>
  <c r="E30" i="62"/>
  <c r="E27" i="62"/>
  <c r="E24" i="62"/>
  <c r="C38" i="59"/>
  <c r="C38" i="58"/>
  <c r="C44" i="58"/>
  <c r="C48" i="58"/>
  <c r="C8" i="58"/>
  <c r="C22" i="58"/>
  <c r="C44" i="59"/>
  <c r="C48" i="59"/>
  <c r="C8" i="59"/>
  <c r="C22" i="60"/>
  <c r="C44" i="60"/>
  <c r="C57" i="60"/>
  <c r="C52" i="60"/>
  <c r="C44" i="61"/>
  <c r="C57" i="58"/>
  <c r="E68" i="62"/>
  <c r="E69" i="62"/>
  <c r="E70" i="62"/>
  <c r="E73" i="62"/>
  <c r="E74" i="62"/>
  <c r="E77" i="62"/>
  <c r="E78" i="62"/>
  <c r="E79" i="62"/>
  <c r="C28" i="58"/>
  <c r="C65" i="61"/>
  <c r="C70" i="61"/>
  <c r="C74" i="61"/>
  <c r="C65" i="60"/>
  <c r="C70" i="60"/>
  <c r="C74" i="60"/>
  <c r="C65" i="59"/>
  <c r="C70" i="59"/>
  <c r="C74" i="59"/>
  <c r="C65" i="58"/>
  <c r="C70" i="58"/>
  <c r="C74" i="58"/>
  <c r="C25" i="58"/>
  <c r="C14" i="58"/>
  <c r="C33" i="58"/>
  <c r="C52" i="58"/>
  <c r="C28" i="59"/>
  <c r="C25" i="59"/>
  <c r="C22" i="59"/>
  <c r="C14" i="59"/>
  <c r="C33" i="59"/>
  <c r="C57" i="59"/>
  <c r="C52" i="59"/>
  <c r="C28" i="60"/>
  <c r="C25" i="60"/>
  <c r="C14" i="60"/>
  <c r="C8" i="60"/>
  <c r="C33" i="60"/>
  <c r="C28" i="61"/>
  <c r="C25" i="61"/>
  <c r="C22" i="61"/>
  <c r="C14" i="61"/>
  <c r="C8" i="61"/>
  <c r="C33" i="61"/>
  <c r="C57" i="61"/>
  <c r="C52" i="61"/>
  <c r="C48" i="61"/>
  <c r="C38" i="61"/>
  <c r="C10" i="62"/>
  <c r="D10" i="62"/>
  <c r="C16" i="62"/>
  <c r="D16" i="62"/>
  <c r="C24" i="62"/>
  <c r="D24" i="62"/>
  <c r="C27" i="62"/>
  <c r="D27" i="62"/>
  <c r="C30" i="62"/>
  <c r="D30" i="62"/>
  <c r="C35" i="62"/>
  <c r="D35" i="62"/>
  <c r="D40" i="62"/>
  <c r="C46" i="62"/>
  <c r="D46" i="62"/>
  <c r="C50" i="62"/>
  <c r="D50" i="62"/>
  <c r="C54" i="62"/>
  <c r="D54" i="62"/>
  <c r="C59" i="62"/>
  <c r="D59" i="62"/>
  <c r="C67" i="62"/>
  <c r="D67" i="62"/>
  <c r="C72" i="62"/>
  <c r="D72" i="62"/>
  <c r="C76" i="62"/>
  <c r="D76" i="62"/>
  <c r="C33" i="62"/>
  <c r="C38" i="60"/>
  <c r="E40" i="62" l="1"/>
  <c r="C31" i="60"/>
  <c r="E67" i="62"/>
  <c r="C31" i="61"/>
  <c r="C61" i="61"/>
  <c r="F63" i="62"/>
  <c r="D33" i="62"/>
  <c r="D65" i="62" s="1"/>
  <c r="D81" i="62" s="1"/>
  <c r="C31" i="58"/>
  <c r="C61" i="58"/>
  <c r="C63" i="65"/>
  <c r="C79" i="65" s="1"/>
  <c r="C63" i="63"/>
  <c r="C79" i="63" s="1"/>
  <c r="E54" i="62"/>
  <c r="C61" i="59"/>
  <c r="C31" i="59"/>
  <c r="E10" i="62"/>
  <c r="E59" i="62"/>
  <c r="E50" i="62"/>
  <c r="D39" i="68" s="1"/>
  <c r="D44" i="68" s="1"/>
  <c r="C61" i="60"/>
  <c r="C63" i="60" s="1"/>
  <c r="C79" i="60" s="1"/>
  <c r="C63" i="62"/>
  <c r="D63" i="62"/>
  <c r="C65" i="62"/>
  <c r="C81" i="62" s="1"/>
  <c r="C63" i="66"/>
  <c r="C79" i="66" s="1"/>
  <c r="H33" i="62"/>
  <c r="G63" i="62"/>
  <c r="G65" i="62" s="1"/>
  <c r="G81" i="62" s="1"/>
  <c r="E46" i="62"/>
  <c r="F65" i="62"/>
  <c r="F81" i="62" s="1"/>
  <c r="E76" i="62"/>
  <c r="E72" i="62"/>
  <c r="H63" i="62"/>
  <c r="C63" i="64"/>
  <c r="C79" i="64" s="1"/>
  <c r="E16" i="62"/>
  <c r="D12" i="68" l="1"/>
  <c r="D46" i="68"/>
  <c r="C63" i="61"/>
  <c r="C79" i="61" s="1"/>
  <c r="C63" i="58"/>
  <c r="C79" i="58" s="1"/>
  <c r="C63" i="59"/>
  <c r="C79" i="59" s="1"/>
  <c r="E33" i="62"/>
  <c r="E63" i="62"/>
  <c r="H65" i="62"/>
  <c r="H81" i="62" s="1"/>
  <c r="D54" i="68" l="1"/>
  <c r="D13" i="68"/>
  <c r="E65" i="62"/>
  <c r="E81" i="62" s="1"/>
  <c r="E14" i="68" l="1"/>
  <c r="D14" i="68"/>
</calcChain>
</file>

<file path=xl/sharedStrings.xml><?xml version="1.0" encoding="utf-8"?>
<sst xmlns="http://schemas.openxmlformats.org/spreadsheetml/2006/main" count="1035" uniqueCount="142">
  <si>
    <t>TOIMINTATUOTOT</t>
  </si>
  <si>
    <t>Liiketoiminnan myyntituotot (300000-307999)</t>
  </si>
  <si>
    <t>Korvaukset kunnilta ja kuntayhtymiltä (310000-312999)</t>
  </si>
  <si>
    <t>Muut suoritteiden myyntitulot (313000-319999)</t>
  </si>
  <si>
    <t>Maksutuotot (320000-329999)</t>
  </si>
  <si>
    <t>Yleishallinnon maksut (320000-320999)</t>
  </si>
  <si>
    <t>Terveydenhuollon maksut (321000-324999)</t>
  </si>
  <si>
    <t>Sosiaalitoimen maksut (325000-326999)</t>
  </si>
  <si>
    <t>Opetus- ja kulttuuritoimen maksut (327000-327999)</t>
  </si>
  <si>
    <t>Yhdyskuntapalvelujen maksut (328000-328999)</t>
  </si>
  <si>
    <t>Muut palvelumaksut (329000-329999)</t>
  </si>
  <si>
    <t>Tuet ja avustukset (330000-339999)</t>
  </si>
  <si>
    <t>Vuokratuotot (340000-349999)</t>
  </si>
  <si>
    <t>Muut toimintatuotot (350000-359999)</t>
  </si>
  <si>
    <t>TOIMINTATULOT YHTEENSÄ</t>
  </si>
  <si>
    <t>Valmistus omaan käyttöön (370000-379999)</t>
  </si>
  <si>
    <t>TOIMINTAMENOT</t>
  </si>
  <si>
    <t>Palkat ja palkkiot (400000-409999)</t>
  </si>
  <si>
    <t>Eläkekulut (410000-414999)</t>
  </si>
  <si>
    <t>Muut henkilöstösivukulut (415000-422999)</t>
  </si>
  <si>
    <t>Henkilöstökorvaukset ja muut henkilöstömenojen korjauserät (</t>
  </si>
  <si>
    <t>Asiakaspalveluiden ostot (430000-433999)</t>
  </si>
  <si>
    <t>Muiden palveluiden ostot (434000-449999)</t>
  </si>
  <si>
    <t>Ostot tilikauden aikana (450000-466999)</t>
  </si>
  <si>
    <t>Varastojen lisäys / vähennys (4670000-4679999)</t>
  </si>
  <si>
    <t>Avustukset (470000-479999)</t>
  </si>
  <si>
    <t>Avustukset yksityisille (470000-473999)</t>
  </si>
  <si>
    <t>Avustukset yhteisöille (474000-474900)</t>
  </si>
  <si>
    <t>Avustukset taseyksiköille (475000-479999)</t>
  </si>
  <si>
    <t>Muut toimintakulut (480000-499999)</t>
  </si>
  <si>
    <t>Vuokrat (480000-489999)</t>
  </si>
  <si>
    <t>Muut toimintakulut (490000-499999)</t>
  </si>
  <si>
    <t>TOIMINTAMENOT YHTEENSÄ</t>
  </si>
  <si>
    <t>TOIMINTAKATE</t>
  </si>
  <si>
    <t>Poistot ja arvonalentumiset (700000-729999)</t>
  </si>
  <si>
    <t>Suunnitelman mukaiset poistot (710000-722999)</t>
  </si>
  <si>
    <t>Kertaluontoiset poistot (720000-722999)</t>
  </si>
  <si>
    <t>Arvonalentumiset (723000-729999)</t>
  </si>
  <si>
    <t>Satunnaiset tuotot ja kulut (800000-819999)</t>
  </si>
  <si>
    <t>Satunnaiset tuotot (800000-809999)</t>
  </si>
  <si>
    <t>Satunnaiset kulut (810000-819999)</t>
  </si>
  <si>
    <t>Varausten ja rahastojen muutokset (850000-879999)</t>
  </si>
  <si>
    <t>Poistoeron muutos (850000-859999)</t>
  </si>
  <si>
    <t>Varausten muutos (860000-869999)</t>
  </si>
  <si>
    <t>Rahastojen muutos (870000-879999)</t>
  </si>
  <si>
    <t>TILIKAUDEN TULOS</t>
  </si>
  <si>
    <t xml:space="preserve"> </t>
  </si>
  <si>
    <t>Myyntituotot</t>
  </si>
  <si>
    <t>Henkilöstökulut (4000-4299)</t>
  </si>
  <si>
    <t>Palveluiden ostot (4300-4499)</t>
  </si>
  <si>
    <t>Aineet, tarvikkeet ja tavarat (4500-4699)</t>
  </si>
  <si>
    <t>300</t>
  </si>
  <si>
    <t>308</t>
  </si>
  <si>
    <t>Täyden korvauksen perusteella saadut korvaukset valtioilta (</t>
  </si>
  <si>
    <t>310</t>
  </si>
  <si>
    <t>313</t>
  </si>
  <si>
    <t>320</t>
  </si>
  <si>
    <t>321</t>
  </si>
  <si>
    <t>325</t>
  </si>
  <si>
    <t>327</t>
  </si>
  <si>
    <t>328</t>
  </si>
  <si>
    <t>329</t>
  </si>
  <si>
    <t>330</t>
  </si>
  <si>
    <t>340</t>
  </si>
  <si>
    <t>350</t>
  </si>
  <si>
    <t>370</t>
  </si>
  <si>
    <t>400</t>
  </si>
  <si>
    <t>410</t>
  </si>
  <si>
    <t>415</t>
  </si>
  <si>
    <t>423</t>
  </si>
  <si>
    <t>430</t>
  </si>
  <si>
    <t>434</t>
  </si>
  <si>
    <t>450</t>
  </si>
  <si>
    <t>467</t>
  </si>
  <si>
    <t>470</t>
  </si>
  <si>
    <t>474</t>
  </si>
  <si>
    <t>475</t>
  </si>
  <si>
    <t>480</t>
  </si>
  <si>
    <t>490</t>
  </si>
  <si>
    <t>710</t>
  </si>
  <si>
    <t>720</t>
  </si>
  <si>
    <t>730</t>
  </si>
  <si>
    <t>800</t>
  </si>
  <si>
    <t>810</t>
  </si>
  <si>
    <t>850</t>
  </si>
  <si>
    <t>860</t>
  </si>
  <si>
    <t>870</t>
  </si>
  <si>
    <t>TA muutosten perustelut (päätös pvm ja pykälä):</t>
  </si>
  <si>
    <t>VAVARKPA - Varhaiskasvatus</t>
  </si>
  <si>
    <t>VAKAOP - Kasvatus- ja opetusvirasto</t>
  </si>
  <si>
    <t>VAPERUSO - Perusopetus</t>
  </si>
  <si>
    <t>SISÄISET TOIMINTATUOTOT</t>
  </si>
  <si>
    <t>SISÄISET TOIMINTAKULUT</t>
  </si>
  <si>
    <t>VAPELK - Kasvatus- ja opetuslautakunta</t>
  </si>
  <si>
    <t>TP 
2011</t>
  </si>
  <si>
    <t>TA+muutokset 2012</t>
  </si>
  <si>
    <t>TA 2013</t>
  </si>
  <si>
    <t>TS 2014</t>
  </si>
  <si>
    <t>TS 2015</t>
  </si>
  <si>
    <t>TS 2016</t>
  </si>
  <si>
    <t>VALYHT - Kasvatus- ja opetus.ltk yht. toim.</t>
  </si>
  <si>
    <t>VARUKAOP - Ruotsinkielinen kasvatuksen ja opetuksen tulosalue</t>
  </si>
  <si>
    <t>LALUKIOT - Lukiokoulutksen tulosalue</t>
  </si>
  <si>
    <t>LAMMATIT - Ammatillisen koulutuksen tulosalue</t>
  </si>
  <si>
    <t>LAIKUIS - Aikuiskoulutuksen tulosalue</t>
  </si>
  <si>
    <t>Investointikulut</t>
  </si>
  <si>
    <t>Käyttötalousosa</t>
  </si>
  <si>
    <t xml:space="preserve">Henkilöstökorvaukset ja muut henkilöstömenojen korjauserät </t>
  </si>
  <si>
    <t>Muutos-%</t>
  </si>
  <si>
    <t>Määrärahat</t>
  </si>
  <si>
    <t>Toimintakate</t>
  </si>
  <si>
    <t>Investointiosa</t>
  </si>
  <si>
    <t/>
  </si>
  <si>
    <t>Muut henkilöstösivukulut</t>
  </si>
  <si>
    <t>TP 2011</t>
  </si>
  <si>
    <t>TA  2013</t>
  </si>
  <si>
    <t>Toimielin Kasvatus- ja opetuslautakunta</t>
  </si>
  <si>
    <t>TOIMINTAKULUT</t>
  </si>
  <si>
    <t>Valtionosuudet ja muut rahoitusosuudet</t>
  </si>
  <si>
    <t>Maksutuotot</t>
  </si>
  <si>
    <t>Tuet ja avustukset</t>
  </si>
  <si>
    <t>Vuokratuotot</t>
  </si>
  <si>
    <t>Muut toimintatuotot</t>
  </si>
  <si>
    <t>Valmistus omaan kayttoon</t>
  </si>
  <si>
    <t>Palkat ja palkkiot</t>
  </si>
  <si>
    <t>Palvelujen ostot</t>
  </si>
  <si>
    <t>Asiakaspalvelujen ostot</t>
  </si>
  <si>
    <t>Muiden palvelujen ostot</t>
  </si>
  <si>
    <t>Aineet, tarvikkeet ja tavarat</t>
  </si>
  <si>
    <t>Avustukset</t>
  </si>
  <si>
    <t>Vuokrat</t>
  </si>
  <si>
    <t>Muut toimintakulut</t>
  </si>
  <si>
    <t>Toimintakulut</t>
  </si>
  <si>
    <t>Verotulot ja valtionosuudet</t>
  </si>
  <si>
    <t>Rahoitustuotot ja -kulut</t>
  </si>
  <si>
    <t>Poistot ja arvonalentumiset</t>
  </si>
  <si>
    <t>Satunnaiset tuotot ja kulut</t>
  </si>
  <si>
    <t>Varausten ja rahastojen muutokset</t>
  </si>
  <si>
    <t>Henkilöstökulut</t>
  </si>
  <si>
    <t>Eläkekulut</t>
  </si>
  <si>
    <t>Hlöstökorvaukset &amp; -menojen korjauserät</t>
  </si>
  <si>
    <t>TA +muutokset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</si>
</sst>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3" fillId="0" borderId="0"/>
  </cellStyleXfs>
  <cellXfs count="82">
    <xf numFmtId="0" fontId="0" fillId="0" borderId="0" xfId="0"/>
    <xf numFmtId="0" fontId="2" fillId="24" borderId="0" xfId="32" applyFont="1" applyFill="1" applyBorder="1" applyAlignment="1" applyProtection="1">
      <alignment horizontal="left"/>
    </xf>
    <xf numFmtId="0" fontId="2" fillId="24" borderId="0" xfId="32" applyFont="1" applyFill="1" applyBorder="1" applyAlignment="1" applyProtection="1">
      <alignment horizontal="center"/>
    </xf>
    <xf numFmtId="0" fontId="2" fillId="24" borderId="10" xfId="32" applyFont="1" applyFill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24" borderId="0" xfId="0" applyFont="1" applyFill="1" applyBorder="1" applyProtection="1"/>
    <xf numFmtId="0" fontId="4" fillId="24" borderId="0" xfId="32" applyFont="1" applyFill="1" applyBorder="1" applyAlignment="1" applyProtection="1">
      <alignment horizontal="left"/>
    </xf>
    <xf numFmtId="38" fontId="2" fillId="24" borderId="0" xfId="32" applyNumberFormat="1" applyFont="1" applyFill="1" applyBorder="1" applyAlignment="1" applyProtection="1">
      <alignment horizontal="center"/>
    </xf>
    <xf numFmtId="1" fontId="3" fillId="25" borderId="0" xfId="0" applyNumberFormat="1" applyFont="1" applyFill="1" applyBorder="1" applyProtection="1"/>
    <xf numFmtId="0" fontId="3" fillId="25" borderId="0" xfId="0" applyFont="1" applyFill="1" applyBorder="1" applyProtection="1"/>
    <xf numFmtId="0" fontId="2" fillId="25" borderId="0" xfId="34" applyNumberFormat="1" applyFont="1" applyFill="1" applyAlignment="1" applyProtection="1">
      <alignment wrapText="1"/>
    </xf>
    <xf numFmtId="1" fontId="3" fillId="24" borderId="0" xfId="0" applyNumberFormat="1" applyFont="1" applyFill="1" applyBorder="1" applyProtection="1"/>
    <xf numFmtId="0" fontId="3" fillId="24" borderId="0" xfId="0" applyFont="1" applyFill="1" applyBorder="1" applyProtection="1"/>
    <xf numFmtId="0" fontId="2" fillId="24" borderId="0" xfId="34" applyNumberFormat="1" applyFont="1" applyFill="1" applyAlignment="1" applyProtection="1">
      <alignment horizontal="center" wrapText="1"/>
    </xf>
    <xf numFmtId="0" fontId="2" fillId="24" borderId="0" xfId="0" applyFont="1" applyFill="1" applyAlignment="1" applyProtection="1">
      <alignment wrapText="1"/>
    </xf>
    <xf numFmtId="0" fontId="3" fillId="24" borderId="0" xfId="0" applyFont="1" applyFill="1" applyBorder="1" applyAlignment="1" applyProtection="1">
      <alignment horizontal="center"/>
    </xf>
    <xf numFmtId="0" fontId="0" fillId="24" borderId="0" xfId="0" applyFill="1" applyAlignment="1" applyProtection="1">
      <alignment horizontal="center"/>
    </xf>
    <xf numFmtId="1" fontId="2" fillId="24" borderId="0" xfId="32" applyNumberFormat="1" applyFont="1" applyFill="1" applyBorder="1" applyAlignment="1" applyProtection="1">
      <alignment horizontal="left"/>
    </xf>
    <xf numFmtId="0" fontId="3" fillId="24" borderId="0" xfId="0" applyFont="1" applyFill="1" applyProtection="1"/>
    <xf numFmtId="1" fontId="2" fillId="24" borderId="10" xfId="32" applyNumberFormat="1" applyFont="1" applyFill="1" applyBorder="1" applyAlignment="1" applyProtection="1">
      <alignment horizontal="left"/>
    </xf>
    <xf numFmtId="3" fontId="2" fillId="24" borderId="10" xfId="32" applyNumberFormat="1" applyFont="1" applyFill="1" applyBorder="1" applyAlignment="1" applyProtection="1">
      <alignment horizontal="right"/>
    </xf>
    <xf numFmtId="0" fontId="2" fillId="24" borderId="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 indent="1"/>
    </xf>
    <xf numFmtId="3" fontId="2" fillId="24" borderId="0" xfId="32" applyNumberFormat="1" applyFont="1" applyFill="1" applyBorder="1" applyAlignment="1" applyProtection="1">
      <alignment horizontal="right"/>
    </xf>
    <xf numFmtId="0" fontId="2" fillId="24" borderId="1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/>
    </xf>
    <xf numFmtId="0" fontId="4" fillId="26" borderId="0" xfId="32" applyFont="1" applyFill="1" applyBorder="1" applyAlignment="1" applyProtection="1">
      <alignment horizontal="left"/>
    </xf>
    <xf numFmtId="3" fontId="4" fillId="26" borderId="0" xfId="32" applyNumberFormat="1" applyFont="1" applyFill="1" applyBorder="1" applyAlignment="1" applyProtection="1">
      <alignment horizontal="right"/>
    </xf>
    <xf numFmtId="0" fontId="6" fillId="0" borderId="10" xfId="34" applyFont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right"/>
    </xf>
    <xf numFmtId="1" fontId="3" fillId="24" borderId="0" xfId="32" applyNumberFormat="1" applyFont="1" applyFill="1" applyBorder="1" applyAlignment="1" applyProtection="1">
      <alignment horizontal="left"/>
    </xf>
    <xf numFmtId="38" fontId="2" fillId="26" borderId="0" xfId="32" applyNumberFormat="1" applyFont="1" applyFill="1" applyBorder="1" applyAlignment="1" applyProtection="1">
      <alignment horizontal="center"/>
    </xf>
    <xf numFmtId="3" fontId="4" fillId="24" borderId="0" xfId="32" applyNumberFormat="1" applyFont="1" applyFill="1" applyBorder="1" applyAlignment="1" applyProtection="1">
      <alignment horizontal="right"/>
    </xf>
    <xf numFmtId="1" fontId="2" fillId="26" borderId="0" xfId="32" applyNumberFormat="1" applyFont="1" applyFill="1" applyBorder="1" applyProtection="1"/>
    <xf numFmtId="0" fontId="2" fillId="26" borderId="0" xfId="32" applyNumberFormat="1" applyFont="1" applyFill="1" applyBorder="1" applyAlignment="1" applyProtection="1">
      <alignment horizontal="left"/>
    </xf>
    <xf numFmtId="1" fontId="5" fillId="26" borderId="0" xfId="0" applyNumberFormat="1" applyFont="1" applyFill="1" applyBorder="1" applyProtection="1"/>
    <xf numFmtId="3" fontId="2" fillId="24" borderId="11" xfId="32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0" fillId="0" borderId="10" xfId="0" applyBorder="1" applyProtection="1"/>
    <xf numFmtId="0" fontId="0" fillId="0" borderId="12" xfId="0" applyBorder="1" applyProtection="1"/>
    <xf numFmtId="3" fontId="0" fillId="0" borderId="0" xfId="0" applyNumberFormat="1"/>
    <xf numFmtId="164" fontId="2" fillId="24" borderId="0" xfId="32" applyNumberFormat="1" applyFont="1" applyFill="1" applyBorder="1" applyAlignment="1" applyProtection="1">
      <alignment horizontal="right"/>
    </xf>
    <xf numFmtId="3" fontId="2" fillId="0" borderId="10" xfId="32" applyNumberFormat="1" applyFont="1" applyFill="1" applyBorder="1" applyAlignment="1" applyProtection="1">
      <alignment horizontal="right"/>
    </xf>
    <xf numFmtId="3" fontId="2" fillId="0" borderId="0" xfId="32" applyNumberFormat="1" applyFont="1" applyFill="1" applyBorder="1" applyAlignment="1" applyProtection="1">
      <alignment horizontal="right"/>
    </xf>
    <xf numFmtId="164" fontId="4" fillId="24" borderId="0" xfId="32" applyNumberFormat="1" applyFont="1" applyFill="1" applyBorder="1" applyAlignment="1" applyProtection="1">
      <alignment horizontal="right"/>
    </xf>
    <xf numFmtId="49" fontId="3" fillId="0" borderId="0" xfId="0" applyNumberFormat="1" applyFont="1" applyProtection="1"/>
    <xf numFmtId="0" fontId="0" fillId="0" borderId="0" xfId="0" applyFill="1" applyProtection="1"/>
    <xf numFmtId="0" fontId="2" fillId="24" borderId="0" xfId="0" applyFont="1" applyFill="1" applyProtection="1"/>
    <xf numFmtId="0" fontId="24" fillId="25" borderId="0" xfId="46" applyFill="1"/>
    <xf numFmtId="0" fontId="24" fillId="24" borderId="0" xfId="46" applyFill="1"/>
    <xf numFmtId="0" fontId="25" fillId="24" borderId="0" xfId="46" applyFont="1" applyFill="1"/>
    <xf numFmtId="0" fontId="2" fillId="24" borderId="0" xfId="34" applyNumberFormat="1" applyFont="1" applyFill="1" applyAlignment="1">
      <alignment wrapText="1"/>
    </xf>
    <xf numFmtId="0" fontId="24" fillId="0" borderId="0" xfId="46"/>
    <xf numFmtId="0" fontId="4" fillId="24" borderId="0" xfId="47" applyFont="1" applyFill="1" applyBorder="1"/>
    <xf numFmtId="0" fontId="8" fillId="24" borderId="0" xfId="46" applyFont="1" applyFill="1" applyBorder="1"/>
    <xf numFmtId="3" fontId="3" fillId="24" borderId="0" xfId="47" applyNumberFormat="1" applyFont="1" applyFill="1" applyBorder="1" applyAlignment="1">
      <alignment horizontal="right" wrapText="1"/>
    </xf>
    <xf numFmtId="3" fontId="2" fillId="24" borderId="0" xfId="47" applyNumberFormat="1" applyFont="1" applyFill="1" applyBorder="1" applyAlignment="1">
      <alignment horizontal="right" wrapText="1"/>
    </xf>
    <xf numFmtId="3" fontId="3" fillId="24" borderId="0" xfId="47" applyNumberFormat="1" applyFont="1" applyFill="1" applyBorder="1" applyAlignment="1">
      <alignment horizontal="right"/>
    </xf>
    <xf numFmtId="0" fontId="2" fillId="24" borderId="13" xfId="47" applyFont="1" applyFill="1" applyBorder="1"/>
    <xf numFmtId="3" fontId="3" fillId="24" borderId="11" xfId="47" applyNumberFormat="1" applyFont="1" applyFill="1" applyBorder="1" applyAlignment="1">
      <alignment horizontal="right" wrapText="1"/>
    </xf>
    <xf numFmtId="3" fontId="3" fillId="24" borderId="14" xfId="47" applyNumberFormat="1" applyFont="1" applyFill="1" applyBorder="1" applyAlignment="1">
      <alignment horizontal="right" wrapText="1"/>
    </xf>
    <xf numFmtId="0" fontId="2" fillId="24" borderId="15" xfId="47" applyFont="1" applyFill="1" applyBorder="1"/>
    <xf numFmtId="3" fontId="3" fillId="24" borderId="16" xfId="47" applyNumberFormat="1" applyFont="1" applyFill="1" applyBorder="1" applyAlignment="1">
      <alignment horizontal="right" wrapText="1"/>
    </xf>
    <xf numFmtId="0" fontId="2" fillId="24" borderId="17" xfId="47" applyFont="1" applyFill="1" applyBorder="1"/>
    <xf numFmtId="3" fontId="2" fillId="24" borderId="10" xfId="47" applyNumberFormat="1" applyFont="1" applyFill="1" applyBorder="1" applyAlignment="1">
      <alignment horizontal="right"/>
    </xf>
    <xf numFmtId="164" fontId="6" fillId="24" borderId="10" xfId="47" applyNumberFormat="1" applyFont="1" applyFill="1" applyBorder="1" applyAlignment="1" applyProtection="1">
      <alignment horizontal="right"/>
    </xf>
    <xf numFmtId="164" fontId="6" fillId="24" borderId="18" xfId="47" applyNumberFormat="1" applyFont="1" applyFill="1" applyBorder="1" applyAlignment="1" applyProtection="1">
      <alignment horizontal="right"/>
    </xf>
    <xf numFmtId="0" fontId="2" fillId="24" borderId="0" xfId="47" applyFont="1" applyFill="1" applyBorder="1"/>
    <xf numFmtId="3" fontId="2" fillId="24" borderId="0" xfId="47" applyNumberFormat="1" applyFont="1" applyFill="1" applyBorder="1" applyAlignment="1">
      <alignment horizontal="right"/>
    </xf>
    <xf numFmtId="0" fontId="2" fillId="26" borderId="19" xfId="47" applyFont="1" applyFill="1" applyBorder="1"/>
    <xf numFmtId="3" fontId="2" fillId="26" borderId="19" xfId="47" applyNumberFormat="1" applyFont="1" applyFill="1" applyBorder="1" applyAlignment="1">
      <alignment horizontal="right"/>
    </xf>
    <xf numFmtId="0" fontId="3" fillId="24" borderId="0" xfId="47" applyFont="1" applyFill="1" applyBorder="1"/>
    <xf numFmtId="0" fontId="3" fillId="24" borderId="0" xfId="47" applyFont="1" applyFill="1" applyBorder="1" applyAlignment="1">
      <alignment horizontal="left" indent="2"/>
    </xf>
    <xf numFmtId="0" fontId="26" fillId="24" borderId="0" xfId="47" applyFont="1" applyFill="1" applyBorder="1" applyAlignment="1">
      <alignment horizontal="left"/>
    </xf>
    <xf numFmtId="3" fontId="2" fillId="26" borderId="19" xfId="47" applyNumberFormat="1" applyFont="1" applyFill="1" applyBorder="1" applyAlignment="1">
      <alignment horizontal="left"/>
    </xf>
    <xf numFmtId="0" fontId="6" fillId="24" borderId="0" xfId="47" applyFont="1" applyFill="1" applyBorder="1" applyAlignment="1">
      <alignment horizontal="left"/>
    </xf>
    <xf numFmtId="0" fontId="2" fillId="26" borderId="19" xfId="47" applyFont="1" applyFill="1" applyBorder="1" applyAlignment="1">
      <alignment horizontal="left"/>
    </xf>
    <xf numFmtId="0" fontId="6" fillId="26" borderId="12" xfId="47" applyFont="1" applyFill="1" applyBorder="1" applyAlignment="1">
      <alignment horizontal="left"/>
    </xf>
    <xf numFmtId="3" fontId="2" fillId="26" borderId="11" xfId="47" applyNumberFormat="1" applyFont="1" applyFill="1" applyBorder="1" applyAlignment="1">
      <alignment horizontal="right"/>
    </xf>
    <xf numFmtId="0" fontId="6" fillId="26" borderId="20" xfId="47" applyFont="1" applyFill="1" applyBorder="1" applyAlignment="1">
      <alignment horizontal="left"/>
    </xf>
    <xf numFmtId="3" fontId="3" fillId="24" borderId="16" xfId="47" applyNumberFormat="1" applyFont="1" applyFill="1" applyBorder="1" applyAlignment="1">
      <alignment horizontal="right"/>
    </xf>
  </cellXfs>
  <cellStyles count="48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ali_Taul1" xfId="46"/>
    <cellStyle name="Normal 2" xfId="31"/>
    <cellStyle name="Normal 3" xfId="32"/>
    <cellStyle name="Normal 7" xfId="47"/>
    <cellStyle name="Normal_Taul23" xfId="33"/>
    <cellStyle name="Normal_Taul3" xfId="34"/>
    <cellStyle name="Otsikko" xfId="35" builtinId="15" customBuiltin="1"/>
    <cellStyle name="Otsikko 1" xfId="36" builtinId="16" customBuiltin="1"/>
    <cellStyle name="Otsikko 2" xfId="37" builtinId="17" customBuiltin="1"/>
    <cellStyle name="Otsikko 3" xfId="38" builtinId="18" customBuiltin="1"/>
    <cellStyle name="Otsikko 4" xfId="39" builtinId="19" customBuiltin="1"/>
    <cellStyle name="Selittävä teksti" xfId="40" builtinId="53" customBuiltin="1"/>
    <cellStyle name="Summa" xfId="41" builtinId="25" customBuiltin="1"/>
    <cellStyle name="Syöttö" xfId="42" builtinId="20" customBuiltin="1"/>
    <cellStyle name="Tarkistussolu" xfId="43" builtinId="23" customBuiltin="1"/>
    <cellStyle name="Tulostus" xfId="44" builtinId="21" customBuiltin="1"/>
    <cellStyle name="Varoitusteksti" xfId="45" builtinId="11" customBuiltin="1"/>
  </cellStyles>
  <dxfs count="9"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1927860</xdr:colOff>
      <xdr:row>1</xdr:row>
      <xdr:rowOff>411480</xdr:rowOff>
    </xdr:to>
    <xdr:pic>
      <xdr:nvPicPr>
        <xdr:cNvPr id="15260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9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1920240</xdr:colOff>
      <xdr:row>2</xdr:row>
      <xdr:rowOff>0</xdr:rowOff>
    </xdr:to>
    <xdr:pic>
      <xdr:nvPicPr>
        <xdr:cNvPr id="15157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21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5055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1943100</xdr:colOff>
      <xdr:row>1</xdr:row>
      <xdr:rowOff>411480</xdr:rowOff>
    </xdr:to>
    <xdr:pic>
      <xdr:nvPicPr>
        <xdr:cNvPr id="14952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905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853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D12" sqref="D12"/>
    </sheetView>
  </sheetViews>
  <sheetFormatPr defaultRowHeight="12.75"/>
  <cols>
    <col min="1" max="1" width="40.42578125" bestFit="1" customWidth="1"/>
    <col min="2" max="7" width="11.7109375" bestFit="1" customWidth="1"/>
  </cols>
  <sheetData>
    <row r="1" spans="1:7" ht="15">
      <c r="A1" s="49" t="s">
        <v>112</v>
      </c>
      <c r="B1" s="49"/>
      <c r="C1" s="49"/>
      <c r="D1" s="49"/>
      <c r="E1" s="49"/>
      <c r="F1" s="49"/>
      <c r="G1" s="49"/>
    </row>
    <row r="2" spans="1:7" ht="15">
      <c r="A2" s="50"/>
      <c r="B2" s="50"/>
      <c r="C2" s="50"/>
      <c r="D2" s="50"/>
      <c r="E2" s="50"/>
      <c r="F2" s="50"/>
      <c r="G2" s="50"/>
    </row>
    <row r="3" spans="1:7" ht="15">
      <c r="A3" s="50"/>
      <c r="B3" s="50"/>
      <c r="C3" s="50"/>
      <c r="D3" s="50"/>
      <c r="E3" s="50"/>
      <c r="F3" s="50"/>
      <c r="G3" s="50"/>
    </row>
    <row r="4" spans="1:7" ht="15">
      <c r="A4" s="50"/>
      <c r="B4" s="50"/>
      <c r="C4" s="50"/>
      <c r="D4" s="50"/>
      <c r="E4" s="50"/>
      <c r="F4" s="50"/>
      <c r="G4" s="50"/>
    </row>
    <row r="5" spans="1:7" ht="15">
      <c r="A5" s="50"/>
      <c r="B5" s="50"/>
      <c r="C5" s="50"/>
      <c r="D5" s="50"/>
      <c r="E5" s="50"/>
      <c r="F5" s="50"/>
      <c r="G5" s="50"/>
    </row>
    <row r="6" spans="1:7" ht="39">
      <c r="A6" s="51" t="s">
        <v>106</v>
      </c>
      <c r="B6" s="52" t="s">
        <v>114</v>
      </c>
      <c r="C6" s="52" t="s">
        <v>141</v>
      </c>
      <c r="D6" s="52" t="s">
        <v>115</v>
      </c>
      <c r="E6" s="52" t="s">
        <v>97</v>
      </c>
      <c r="F6" s="52" t="s">
        <v>98</v>
      </c>
      <c r="G6" s="52" t="s">
        <v>99</v>
      </c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4" t="s">
        <v>116</v>
      </c>
      <c r="B8" s="55" t="s">
        <v>46</v>
      </c>
      <c r="C8" s="55" t="s">
        <v>46</v>
      </c>
      <c r="D8" s="55" t="s">
        <v>46</v>
      </c>
      <c r="E8" s="55" t="s">
        <v>46</v>
      </c>
      <c r="F8" s="55" t="s">
        <v>46</v>
      </c>
      <c r="G8" s="55" t="s">
        <v>46</v>
      </c>
    </row>
    <row r="9" spans="1:7" ht="15">
      <c r="A9" s="54" t="s">
        <v>109</v>
      </c>
      <c r="B9" s="56"/>
      <c r="C9" s="56"/>
      <c r="D9" s="56"/>
      <c r="E9" s="56"/>
      <c r="F9" s="56"/>
      <c r="G9" s="56"/>
    </row>
    <row r="10" spans="1:7" ht="15">
      <c r="A10" s="54" t="s">
        <v>106</v>
      </c>
      <c r="B10" s="56"/>
      <c r="C10" s="56"/>
      <c r="D10" s="56"/>
      <c r="E10" s="56"/>
      <c r="F10" s="56"/>
      <c r="G10" s="56"/>
    </row>
    <row r="11" spans="1:7">
      <c r="A11" s="59" t="s">
        <v>0</v>
      </c>
      <c r="B11" s="60">
        <f>B26</f>
        <v>26065042.689999998</v>
      </c>
      <c r="C11" s="60">
        <f>C26</f>
        <v>26819616</v>
      </c>
      <c r="D11" s="60">
        <f>D26</f>
        <v>26088709</v>
      </c>
      <c r="E11" s="60">
        <v>26525319</v>
      </c>
      <c r="F11" s="60">
        <v>27141844</v>
      </c>
      <c r="G11" s="61">
        <v>27963605</v>
      </c>
    </row>
    <row r="12" spans="1:7">
      <c r="A12" s="62" t="s">
        <v>117</v>
      </c>
      <c r="B12" s="58">
        <f>B44</f>
        <v>286945741.48000002</v>
      </c>
      <c r="C12" s="58">
        <f>C44</f>
        <v>292832973.19999999</v>
      </c>
      <c r="D12" s="58">
        <f>D44</f>
        <v>298723082.49019003</v>
      </c>
      <c r="E12" s="56">
        <v>305337705</v>
      </c>
      <c r="F12" s="56">
        <v>312434644</v>
      </c>
      <c r="G12" s="63">
        <v>321894089</v>
      </c>
    </row>
    <row r="13" spans="1:7">
      <c r="A13" s="62" t="s">
        <v>110</v>
      </c>
      <c r="B13" s="58">
        <f>B46</f>
        <v>-260880698.79000002</v>
      </c>
      <c r="C13" s="58">
        <f>C46</f>
        <v>-266013357.19999999</v>
      </c>
      <c r="D13" s="58">
        <f>D46</f>
        <v>-272634373.49019003</v>
      </c>
      <c r="E13" s="58">
        <v>-278812386</v>
      </c>
      <c r="F13" s="58">
        <v>-285292800</v>
      </c>
      <c r="G13" s="81">
        <v>-293930484</v>
      </c>
    </row>
    <row r="14" spans="1:7">
      <c r="A14" s="64" t="s">
        <v>108</v>
      </c>
      <c r="B14" s="65"/>
      <c r="C14" s="66">
        <f>(C13-B13)/B13</f>
        <v>1.9674350896045321E-2</v>
      </c>
      <c r="D14" s="66">
        <f>(D13-C13)/C13</f>
        <v>2.4889788843242496E-2</v>
      </c>
      <c r="E14" s="66">
        <f t="shared" ref="E14:G14" si="0">(E13-D13)/D13</f>
        <v>2.2660431370853055E-2</v>
      </c>
      <c r="F14" s="66">
        <f t="shared" si="0"/>
        <v>2.3242920061664691E-2</v>
      </c>
      <c r="G14" s="67">
        <f t="shared" si="0"/>
        <v>3.0276557978329632E-2</v>
      </c>
    </row>
    <row r="15" spans="1:7">
      <c r="A15" s="68" t="s">
        <v>46</v>
      </c>
      <c r="B15" s="58"/>
      <c r="C15" s="56"/>
      <c r="D15" s="58"/>
      <c r="E15" s="58"/>
      <c r="F15" s="58"/>
      <c r="G15" s="58"/>
    </row>
    <row r="16" spans="1:7" ht="15">
      <c r="A16" s="54" t="s">
        <v>111</v>
      </c>
      <c r="B16" s="58"/>
      <c r="C16" s="56"/>
      <c r="D16" s="58"/>
      <c r="E16" s="56"/>
      <c r="F16" s="56"/>
      <c r="G16" s="56"/>
    </row>
    <row r="17" spans="1:7">
      <c r="A17" s="68" t="s">
        <v>118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>
      <c r="A18" s="68" t="s">
        <v>105</v>
      </c>
      <c r="B18" s="56">
        <f>VAPELK!C8</f>
        <v>1027511.99</v>
      </c>
      <c r="C18" s="56">
        <f>VAPELK!D8</f>
        <v>1130000</v>
      </c>
      <c r="D18" s="56">
        <f>VAPELK!E8</f>
        <v>2000000</v>
      </c>
      <c r="E18" s="56">
        <f>VAPELK!F8</f>
        <v>2185000</v>
      </c>
      <c r="F18" s="56">
        <f>VAPELK!G8</f>
        <v>1520000</v>
      </c>
      <c r="G18" s="56">
        <f>VAPELK!H8</f>
        <v>1570000</v>
      </c>
    </row>
    <row r="19" spans="1:7">
      <c r="A19" s="68" t="s">
        <v>46</v>
      </c>
      <c r="B19" s="58"/>
      <c r="C19" s="56"/>
      <c r="D19" s="58"/>
      <c r="E19" s="58"/>
      <c r="F19" s="58"/>
      <c r="G19" s="58"/>
    </row>
    <row r="20" spans="1:7">
      <c r="A20" s="68" t="s">
        <v>47</v>
      </c>
      <c r="B20" s="69">
        <f>VAPELK!C10</f>
        <v>12233089.189999999</v>
      </c>
      <c r="C20" s="69">
        <f>VAPELK!D10</f>
        <v>12360659</v>
      </c>
      <c r="D20" s="69">
        <f>VAPELK!E10</f>
        <v>12240479</v>
      </c>
      <c r="E20" s="57">
        <v>12517854</v>
      </c>
      <c r="F20" s="57">
        <v>12808806</v>
      </c>
      <c r="G20" s="57">
        <v>13196612</v>
      </c>
    </row>
    <row r="21" spans="1:7">
      <c r="A21" s="68" t="s">
        <v>119</v>
      </c>
      <c r="B21" s="69">
        <f>VAPELK!C16</f>
        <v>7772752.2899999991</v>
      </c>
      <c r="C21" s="69">
        <f>VAPELK!D16</f>
        <v>9146470</v>
      </c>
      <c r="D21" s="69">
        <f>VAPELK!E16</f>
        <v>8901096</v>
      </c>
      <c r="E21" s="57">
        <v>8967501</v>
      </c>
      <c r="F21" s="57">
        <v>9175932</v>
      </c>
      <c r="G21" s="57">
        <v>9453747</v>
      </c>
    </row>
    <row r="22" spans="1:7">
      <c r="A22" s="68" t="s">
        <v>120</v>
      </c>
      <c r="B22" s="69">
        <f>VAPELK!C24</f>
        <v>5326255.18</v>
      </c>
      <c r="C22" s="69">
        <f>VAPELK!D24</f>
        <v>5041587</v>
      </c>
      <c r="D22" s="69">
        <f>VAPELK!E24</f>
        <v>4769314</v>
      </c>
      <c r="E22" s="57">
        <v>4858114</v>
      </c>
      <c r="F22" s="57">
        <v>4971030</v>
      </c>
      <c r="G22" s="57">
        <v>5121536</v>
      </c>
    </row>
    <row r="23" spans="1:7">
      <c r="A23" s="68" t="s">
        <v>121</v>
      </c>
      <c r="B23" s="69">
        <f>VAPELK!C27</f>
        <v>178718.39</v>
      </c>
      <c r="C23" s="69">
        <f>VAPELK!D27</f>
        <v>207900</v>
      </c>
      <c r="D23" s="69">
        <f>VAPELK!E27</f>
        <v>164720</v>
      </c>
      <c r="E23" s="57">
        <v>168453</v>
      </c>
      <c r="F23" s="57">
        <v>172368</v>
      </c>
      <c r="G23" s="57">
        <v>177587</v>
      </c>
    </row>
    <row r="24" spans="1:7">
      <c r="A24" s="68" t="s">
        <v>122</v>
      </c>
      <c r="B24" s="69">
        <f>VAPELK!C30</f>
        <v>554227.64</v>
      </c>
      <c r="C24" s="69">
        <f>VAPELK!D30</f>
        <v>63000</v>
      </c>
      <c r="D24" s="69">
        <f>VAPELK!E30</f>
        <v>13100</v>
      </c>
      <c r="E24" s="57">
        <v>13397</v>
      </c>
      <c r="F24" s="57">
        <v>13708</v>
      </c>
      <c r="G24" s="57">
        <v>14123</v>
      </c>
    </row>
    <row r="25" spans="1:7">
      <c r="A25" s="68" t="s">
        <v>46</v>
      </c>
      <c r="B25" s="58"/>
      <c r="C25" s="56"/>
      <c r="D25" s="58"/>
      <c r="E25" s="58"/>
      <c r="F25" s="58"/>
      <c r="G25" s="58"/>
    </row>
    <row r="26" spans="1:7" ht="13.5" thickBot="1">
      <c r="A26" s="70" t="s">
        <v>0</v>
      </c>
      <c r="B26" s="71">
        <f>SUM(B20:B25)</f>
        <v>26065042.689999998</v>
      </c>
      <c r="C26" s="71">
        <f>SUM(C20:C25)</f>
        <v>26819616</v>
      </c>
      <c r="D26" s="71">
        <f>SUM(D20:D25)</f>
        <v>26088709</v>
      </c>
      <c r="E26" s="71">
        <v>26525319</v>
      </c>
      <c r="F26" s="71">
        <v>27141844</v>
      </c>
      <c r="G26" s="71">
        <v>27963605</v>
      </c>
    </row>
    <row r="27" spans="1:7" ht="13.5" thickTop="1">
      <c r="A27" s="68" t="s">
        <v>46</v>
      </c>
      <c r="B27" s="58"/>
      <c r="C27" s="56"/>
      <c r="D27" s="58"/>
      <c r="E27" s="58"/>
      <c r="F27" s="58"/>
      <c r="G27" s="58"/>
    </row>
    <row r="28" spans="1:7">
      <c r="A28" s="68" t="s">
        <v>123</v>
      </c>
      <c r="B28" s="58">
        <v>0</v>
      </c>
      <c r="C28" s="56">
        <v>0</v>
      </c>
      <c r="D28" s="58"/>
      <c r="E28" s="56">
        <v>0</v>
      </c>
      <c r="F28" s="56">
        <v>0</v>
      </c>
      <c r="G28" s="56">
        <v>0</v>
      </c>
    </row>
    <row r="29" spans="1:7">
      <c r="A29" s="72" t="s">
        <v>46</v>
      </c>
      <c r="B29" s="58"/>
      <c r="C29" s="56"/>
      <c r="D29" s="58"/>
      <c r="E29" s="58"/>
      <c r="F29" s="58"/>
      <c r="G29" s="58"/>
    </row>
    <row r="30" spans="1:7">
      <c r="A30" s="68" t="s">
        <v>138</v>
      </c>
      <c r="B30" s="69">
        <f>SUM(B31:B34)</f>
        <v>166805999.29999998</v>
      </c>
      <c r="C30" s="69">
        <f t="shared" ref="C30:G30" si="1">SUM(C31:C34)</f>
        <v>170962917.71999997</v>
      </c>
      <c r="D30" s="69">
        <f>SUM(D31:D34)+2</f>
        <v>176754966.49019</v>
      </c>
      <c r="E30" s="69">
        <f t="shared" si="1"/>
        <v>180760311</v>
      </c>
      <c r="F30" s="69">
        <f t="shared" si="1"/>
        <v>184961708</v>
      </c>
      <c r="G30" s="69">
        <f t="shared" si="1"/>
        <v>190561712</v>
      </c>
    </row>
    <row r="31" spans="1:7">
      <c r="A31" s="73" t="s">
        <v>124</v>
      </c>
      <c r="B31" s="58">
        <f>VAPELK!C41</f>
        <v>132543728.70999999</v>
      </c>
      <c r="C31" s="58">
        <f>VAPELK!D41</f>
        <v>133998504.95999999</v>
      </c>
      <c r="D31" s="58">
        <f>VAPELK!E41</f>
        <v>138842310.90000001</v>
      </c>
      <c r="E31" s="56">
        <f>VAPELK!F41</f>
        <v>141988539</v>
      </c>
      <c r="F31" s="56">
        <f>VAPELK!G41</f>
        <v>145288767</v>
      </c>
      <c r="G31" s="56">
        <f>VAPELK!H41</f>
        <v>149687611</v>
      </c>
    </row>
    <row r="32" spans="1:7">
      <c r="A32" s="73" t="s">
        <v>139</v>
      </c>
      <c r="B32" s="58">
        <f>VAPELK!C42</f>
        <v>29707517.75</v>
      </c>
      <c r="C32" s="58">
        <f>VAPELK!D42</f>
        <v>30038070</v>
      </c>
      <c r="D32" s="58">
        <f>VAPELK!E42</f>
        <v>30597742.665449999</v>
      </c>
      <c r="E32" s="56">
        <v>31291102</v>
      </c>
      <c r="F32" s="56">
        <v>32018398</v>
      </c>
      <c r="G32" s="56">
        <v>32987805</v>
      </c>
    </row>
    <row r="33" spans="1:7">
      <c r="A33" s="73" t="s">
        <v>113</v>
      </c>
      <c r="B33" s="58">
        <f>VAPELK!C43</f>
        <v>7833354.8600000003</v>
      </c>
      <c r="C33" s="58">
        <f>VAPELK!D43</f>
        <v>8248547.6399999997</v>
      </c>
      <c r="D33" s="58">
        <f>VAPELK!E43</f>
        <v>8681265.9247399997</v>
      </c>
      <c r="E33" s="56">
        <v>8877987</v>
      </c>
      <c r="F33" s="56">
        <v>9084338</v>
      </c>
      <c r="G33" s="56">
        <v>9359380</v>
      </c>
    </row>
    <row r="34" spans="1:7">
      <c r="A34" s="73" t="s">
        <v>140</v>
      </c>
      <c r="B34" s="58">
        <f>VAPELK!C44</f>
        <v>-3278602.02</v>
      </c>
      <c r="C34" s="58">
        <f>VAPELK!D44</f>
        <v>-1322204.8799999999</v>
      </c>
      <c r="D34" s="58">
        <f>VAPELK!E44</f>
        <v>-1366355</v>
      </c>
      <c r="E34" s="56">
        <v>-1397317</v>
      </c>
      <c r="F34" s="56">
        <v>-1429795</v>
      </c>
      <c r="G34" s="56">
        <v>-1473084</v>
      </c>
    </row>
    <row r="35" spans="1:7">
      <c r="A35" s="73" t="s">
        <v>46</v>
      </c>
      <c r="B35" s="58"/>
      <c r="C35" s="56"/>
      <c r="D35" s="58"/>
      <c r="E35" s="58"/>
      <c r="F35" s="58"/>
      <c r="G35" s="58"/>
    </row>
    <row r="36" spans="1:7">
      <c r="A36" s="68" t="s">
        <v>125</v>
      </c>
      <c r="B36" s="69">
        <f>SUM(B37:B38)</f>
        <v>57016839.609999999</v>
      </c>
      <c r="C36" s="69">
        <f t="shared" ref="C36:D36" si="2">SUM(C37:C38)</f>
        <v>52227378.480000004</v>
      </c>
      <c r="D36" s="69">
        <f t="shared" si="2"/>
        <v>46581463</v>
      </c>
      <c r="E36" s="69">
        <f t="shared" ref="E36" si="3">SUM(E37:E38)</f>
        <v>52989950</v>
      </c>
      <c r="F36" s="69">
        <f t="shared" ref="F36" si="4">SUM(F37:F38)</f>
        <v>54221591</v>
      </c>
      <c r="G36" s="69">
        <f t="shared" ref="G36" si="5">SUM(G37:G38)</f>
        <v>55863234</v>
      </c>
    </row>
    <row r="37" spans="1:7">
      <c r="A37" s="73" t="s">
        <v>126</v>
      </c>
      <c r="B37" s="58">
        <f>VAPELK!C47</f>
        <v>13505942.960000001</v>
      </c>
      <c r="C37" s="58">
        <f>VAPELK!D47</f>
        <v>14341137.960000001</v>
      </c>
      <c r="D37" s="58">
        <f>VAPELK!E47</f>
        <v>9418696</v>
      </c>
      <c r="E37" s="56">
        <v>14985058</v>
      </c>
      <c r="F37" s="56">
        <v>15333354</v>
      </c>
      <c r="G37" s="56">
        <v>15797595</v>
      </c>
    </row>
    <row r="38" spans="1:7">
      <c r="A38" s="73" t="s">
        <v>127</v>
      </c>
      <c r="B38" s="58">
        <f>VAPELK!C48</f>
        <v>43510896.649999999</v>
      </c>
      <c r="C38" s="58">
        <f>VAPELK!D48</f>
        <v>37886240.520000003</v>
      </c>
      <c r="D38" s="58">
        <f>VAPELK!E48</f>
        <v>37162767</v>
      </c>
      <c r="E38" s="56">
        <v>38004892</v>
      </c>
      <c r="F38" s="56">
        <v>38888237</v>
      </c>
      <c r="G38" s="56">
        <v>40065639</v>
      </c>
    </row>
    <row r="39" spans="1:7">
      <c r="A39" s="68" t="s">
        <v>128</v>
      </c>
      <c r="B39" s="69">
        <f>VAPELK!C50</f>
        <v>9665474.7799999993</v>
      </c>
      <c r="C39" s="69">
        <f>VAPELK!D50</f>
        <v>9427690</v>
      </c>
      <c r="D39" s="69">
        <f>VAPELK!E50</f>
        <v>9591468</v>
      </c>
      <c r="E39" s="57">
        <v>9808815</v>
      </c>
      <c r="F39" s="57">
        <v>10036800</v>
      </c>
      <c r="G39" s="57">
        <v>10340680</v>
      </c>
    </row>
    <row r="40" spans="1:7">
      <c r="A40" s="68" t="s">
        <v>129</v>
      </c>
      <c r="B40" s="69">
        <f>VAPELK!C54</f>
        <v>12911258.02</v>
      </c>
      <c r="C40" s="69">
        <f>VAPELK!D54</f>
        <v>13036200</v>
      </c>
      <c r="D40" s="69">
        <f>VAPELK!E54</f>
        <v>17202668</v>
      </c>
      <c r="E40" s="57">
        <v>12104260</v>
      </c>
      <c r="F40" s="57">
        <v>12385599</v>
      </c>
      <c r="G40" s="57">
        <v>12760591</v>
      </c>
    </row>
    <row r="41" spans="1:7">
      <c r="A41" s="68" t="s">
        <v>130</v>
      </c>
      <c r="B41" s="69">
        <f>VAPELK!C60</f>
        <v>40838344.609999999</v>
      </c>
      <c r="C41" s="69">
        <f>VAPELK!D60</f>
        <v>46595151</v>
      </c>
      <c r="D41" s="69">
        <f>VAPELK!E60</f>
        <v>47751649</v>
      </c>
      <c r="E41" s="57">
        <v>48833722</v>
      </c>
      <c r="F41" s="57">
        <v>49968760</v>
      </c>
      <c r="G41" s="57">
        <v>51481642</v>
      </c>
    </row>
    <row r="42" spans="1:7">
      <c r="A42" s="68" t="s">
        <v>131</v>
      </c>
      <c r="B42" s="69">
        <f>VAPELK!C61</f>
        <v>-292174.84000000003</v>
      </c>
      <c r="C42" s="69">
        <f>VAPELK!D61</f>
        <v>583636</v>
      </c>
      <c r="D42" s="69">
        <f>VAPELK!E61</f>
        <v>840868</v>
      </c>
      <c r="E42" s="57">
        <v>840647</v>
      </c>
      <c r="F42" s="57">
        <v>860186</v>
      </c>
      <c r="G42" s="57">
        <v>886230</v>
      </c>
    </row>
    <row r="43" spans="1:7">
      <c r="A43" s="74" t="s">
        <v>46</v>
      </c>
      <c r="B43" s="58"/>
      <c r="C43" s="56"/>
      <c r="D43" s="58"/>
      <c r="E43" s="58"/>
      <c r="F43" s="58"/>
      <c r="G43" s="58"/>
    </row>
    <row r="44" spans="1:7" ht="13.5" thickBot="1">
      <c r="A44" s="75" t="s">
        <v>132</v>
      </c>
      <c r="B44" s="71">
        <f>B30+B36+B39+B40+B41+B42</f>
        <v>286945741.48000002</v>
      </c>
      <c r="C44" s="71">
        <f t="shared" ref="C44:G44" si="6">C30+C36+C39+C40+C41+C42</f>
        <v>292832973.19999999</v>
      </c>
      <c r="D44" s="71">
        <f t="shared" si="6"/>
        <v>298723082.49019003</v>
      </c>
      <c r="E44" s="71">
        <f t="shared" si="6"/>
        <v>305337705</v>
      </c>
      <c r="F44" s="71">
        <f t="shared" si="6"/>
        <v>312434644</v>
      </c>
      <c r="G44" s="71">
        <f t="shared" si="6"/>
        <v>321894089</v>
      </c>
    </row>
    <row r="45" spans="1:7" ht="13.5" thickTop="1">
      <c r="A45" s="68" t="s">
        <v>46</v>
      </c>
      <c r="B45" s="58"/>
      <c r="C45" s="56" t="s">
        <v>46</v>
      </c>
      <c r="D45" s="58"/>
      <c r="E45" s="58"/>
      <c r="F45" s="58"/>
      <c r="G45" s="58"/>
    </row>
    <row r="46" spans="1:7" ht="13.5" thickBot="1">
      <c r="A46" s="75" t="s">
        <v>110</v>
      </c>
      <c r="B46" s="71">
        <f>B26-B44</f>
        <v>-260880698.79000002</v>
      </c>
      <c r="C46" s="71">
        <f>C26-C44</f>
        <v>-266013357.19999999</v>
      </c>
      <c r="D46" s="71">
        <f t="shared" ref="D46:G46" si="7">D26-D44</f>
        <v>-272634373.49019003</v>
      </c>
      <c r="E46" s="71">
        <f t="shared" si="7"/>
        <v>-278812386</v>
      </c>
      <c r="F46" s="71">
        <f t="shared" si="7"/>
        <v>-285292800</v>
      </c>
      <c r="G46" s="71">
        <f t="shared" si="7"/>
        <v>-293930484</v>
      </c>
    </row>
    <row r="47" spans="1:7" ht="13.5" thickTop="1">
      <c r="A47" s="72" t="s">
        <v>46</v>
      </c>
      <c r="B47" s="58"/>
      <c r="C47" s="56"/>
      <c r="D47" s="58"/>
      <c r="E47" s="58"/>
      <c r="F47" s="58"/>
      <c r="G47" s="58"/>
    </row>
    <row r="48" spans="1:7">
      <c r="A48" s="68" t="s">
        <v>133</v>
      </c>
      <c r="B48" s="58">
        <v>0</v>
      </c>
      <c r="C48" s="56">
        <v>0</v>
      </c>
      <c r="D48" s="58"/>
      <c r="E48" s="56">
        <v>0</v>
      </c>
      <c r="F48" s="56">
        <v>0</v>
      </c>
      <c r="G48" s="56">
        <v>0</v>
      </c>
    </row>
    <row r="49" spans="1:7">
      <c r="A49" s="68" t="s">
        <v>134</v>
      </c>
      <c r="B49" s="58">
        <v>-127.21</v>
      </c>
      <c r="C49" s="56">
        <v>0</v>
      </c>
      <c r="D49" s="58"/>
      <c r="E49" s="56">
        <v>0</v>
      </c>
      <c r="F49" s="56">
        <v>0</v>
      </c>
      <c r="G49" s="56">
        <v>0</v>
      </c>
    </row>
    <row r="50" spans="1:7">
      <c r="A50" s="68" t="s">
        <v>135</v>
      </c>
      <c r="B50" s="58">
        <v>840634.69</v>
      </c>
      <c r="C50" s="56">
        <v>830329.00000080001</v>
      </c>
      <c r="D50" s="58">
        <v>353208.9999996</v>
      </c>
      <c r="E50" s="56">
        <v>310439</v>
      </c>
      <c r="F50" s="56">
        <v>248570</v>
      </c>
      <c r="G50" s="56">
        <v>168621</v>
      </c>
    </row>
    <row r="51" spans="1:7">
      <c r="A51" s="68" t="s">
        <v>136</v>
      </c>
      <c r="B51" s="58">
        <v>0</v>
      </c>
      <c r="C51" s="56">
        <v>0</v>
      </c>
      <c r="D51" s="58"/>
      <c r="E51" s="56">
        <v>0</v>
      </c>
      <c r="F51" s="56">
        <v>0</v>
      </c>
      <c r="G51" s="56">
        <v>0</v>
      </c>
    </row>
    <row r="52" spans="1:7">
      <c r="A52" s="68" t="s">
        <v>137</v>
      </c>
      <c r="B52" s="58">
        <v>0</v>
      </c>
      <c r="C52" s="56">
        <v>0</v>
      </c>
      <c r="D52" s="58"/>
      <c r="E52" s="56">
        <v>0</v>
      </c>
      <c r="F52" s="56">
        <v>0</v>
      </c>
      <c r="G52" s="56">
        <v>0</v>
      </c>
    </row>
    <row r="53" spans="1:7">
      <c r="A53" s="76" t="s">
        <v>46</v>
      </c>
      <c r="B53" s="58"/>
      <c r="C53" s="56"/>
      <c r="D53" s="58"/>
      <c r="E53" s="58"/>
      <c r="F53" s="58"/>
      <c r="G53" s="58"/>
    </row>
    <row r="54" spans="1:7" ht="13.5" thickBot="1">
      <c r="A54" s="77" t="s">
        <v>45</v>
      </c>
      <c r="B54" s="71">
        <f>B46+B49-B50</f>
        <v>-261721460.69000003</v>
      </c>
      <c r="C54" s="71">
        <f>C46+C49-C50</f>
        <v>-266843686.20000079</v>
      </c>
      <c r="D54" s="71">
        <f t="shared" ref="D54:G54" si="8">D46+D49-D50</f>
        <v>-272987582.49018961</v>
      </c>
      <c r="E54" s="71">
        <f t="shared" si="8"/>
        <v>-279122825</v>
      </c>
      <c r="F54" s="71">
        <f t="shared" si="8"/>
        <v>-285541370</v>
      </c>
      <c r="G54" s="71">
        <f t="shared" si="8"/>
        <v>-294099105</v>
      </c>
    </row>
    <row r="55" spans="1:7" ht="13.5" thickTop="1">
      <c r="A55" s="72" t="s">
        <v>46</v>
      </c>
      <c r="B55" s="58"/>
      <c r="C55" s="58"/>
      <c r="D55" s="58"/>
      <c r="E55" s="58"/>
      <c r="F55" s="58"/>
      <c r="G55" s="58"/>
    </row>
    <row r="56" spans="1:7">
      <c r="A56" s="78" t="s">
        <v>91</v>
      </c>
      <c r="B56" s="79">
        <v>824078.99</v>
      </c>
      <c r="C56" s="79">
        <v>695704.00000080001</v>
      </c>
      <c r="D56" s="79">
        <v>698274.9999996</v>
      </c>
      <c r="E56" s="79">
        <v>0</v>
      </c>
      <c r="F56" s="79">
        <v>0</v>
      </c>
      <c r="G56" s="79">
        <v>0</v>
      </c>
    </row>
    <row r="57" spans="1:7" ht="13.5" thickBot="1">
      <c r="A57" s="80" t="s">
        <v>92</v>
      </c>
      <c r="B57" s="71">
        <v>-63006740.509999998</v>
      </c>
      <c r="C57" s="71">
        <v>-66441055.999993198</v>
      </c>
      <c r="D57" s="71">
        <v>-60954714</v>
      </c>
      <c r="E57" s="71">
        <v>0</v>
      </c>
      <c r="F57" s="71">
        <v>0</v>
      </c>
      <c r="G57" s="71">
        <v>0</v>
      </c>
    </row>
    <row r="58" spans="1:7" ht="13.5" thickTop="1"/>
  </sheetData>
  <pageMargins left="1.1023622047244095" right="0.70866141732283472" top="0.74803149606299213" bottom="0.74803149606299213" header="0.31496062992125984" footer="0.31496062992125984"/>
  <pageSetup paperSize="9" scale="10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59" sqref="C59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104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2502000</v>
      </c>
      <c r="D8" s="21"/>
    </row>
    <row r="9" spans="1:4">
      <c r="A9" s="22" t="s">
        <v>51</v>
      </c>
      <c r="B9" s="23" t="s">
        <v>1</v>
      </c>
      <c r="C9" s="43">
        <v>2500000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/>
      <c r="D11" s="21"/>
    </row>
    <row r="12" spans="1:4">
      <c r="A12" s="22" t="s">
        <v>55</v>
      </c>
      <c r="B12" s="23" t="s">
        <v>3</v>
      </c>
      <c r="C12" s="43">
        <v>2000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605000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/>
      <c r="D17" s="21"/>
    </row>
    <row r="18" spans="1:4">
      <c r="A18" s="22" t="s">
        <v>59</v>
      </c>
      <c r="B18" s="23" t="s">
        <v>8</v>
      </c>
      <c r="C18" s="43">
        <v>605000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87200</v>
      </c>
      <c r="D22" s="21"/>
    </row>
    <row r="23" spans="1:4">
      <c r="A23" s="22" t="s">
        <v>62</v>
      </c>
      <c r="B23" s="23" t="s">
        <v>11</v>
      </c>
      <c r="C23" s="43">
        <v>87200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29000</v>
      </c>
      <c r="D25" s="21"/>
    </row>
    <row r="26" spans="1:4">
      <c r="A26" s="22" t="s">
        <v>63</v>
      </c>
      <c r="B26" s="23" t="s">
        <v>12</v>
      </c>
      <c r="C26" s="43">
        <v>29000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0</v>
      </c>
      <c r="D28" s="21"/>
    </row>
    <row r="29" spans="1:4">
      <c r="A29" s="22" t="s">
        <v>64</v>
      </c>
      <c r="B29" s="23" t="s">
        <v>13</v>
      </c>
      <c r="C29" s="43">
        <v>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3223200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6545995</v>
      </c>
      <c r="D38" s="21"/>
    </row>
    <row r="39" spans="1:4">
      <c r="A39" s="22" t="s">
        <v>66</v>
      </c>
      <c r="B39" s="23" t="s">
        <v>17</v>
      </c>
      <c r="C39" s="43">
        <v>5329101</v>
      </c>
      <c r="D39" s="21"/>
    </row>
    <row r="40" spans="1:4">
      <c r="A40" s="22" t="s">
        <v>67</v>
      </c>
      <c r="B40" s="23" t="s">
        <v>18</v>
      </c>
      <c r="C40" s="43">
        <v>882187</v>
      </c>
      <c r="D40" s="21"/>
    </row>
    <row r="41" spans="1:4">
      <c r="A41" s="22" t="s">
        <v>68</v>
      </c>
      <c r="B41" s="23" t="s">
        <v>19</v>
      </c>
      <c r="C41" s="43">
        <v>333507</v>
      </c>
      <c r="D41" s="21"/>
    </row>
    <row r="42" spans="1:4">
      <c r="A42" s="22" t="s">
        <v>69</v>
      </c>
      <c r="B42" s="23" t="s">
        <v>20</v>
      </c>
      <c r="C42" s="43">
        <v>1200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823542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v>823542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369727</v>
      </c>
      <c r="D48" s="21"/>
    </row>
    <row r="49" spans="1:4">
      <c r="A49" s="22" t="s">
        <v>72</v>
      </c>
      <c r="B49" s="23" t="s">
        <v>23</v>
      </c>
      <c r="C49" s="43">
        <v>369727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4700</v>
      </c>
      <c r="D52" s="21"/>
    </row>
    <row r="53" spans="1:4">
      <c r="A53" s="22" t="s">
        <v>74</v>
      </c>
      <c r="B53" s="23" t="s">
        <v>26</v>
      </c>
      <c r="C53" s="43">
        <v>1200</v>
      </c>
      <c r="D53" s="21"/>
    </row>
    <row r="54" spans="1:4">
      <c r="A54" s="22" t="s">
        <v>75</v>
      </c>
      <c r="B54" s="23" t="s">
        <v>27</v>
      </c>
      <c r="C54" s="43">
        <v>3500</v>
      </c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1911071</v>
      </c>
      <c r="D57" s="21"/>
    </row>
    <row r="58" spans="1:4">
      <c r="A58" s="22" t="s">
        <v>77</v>
      </c>
      <c r="B58" s="23" t="s">
        <v>30</v>
      </c>
      <c r="C58" s="43">
        <f>1899070-51599</f>
        <v>1847471</v>
      </c>
      <c r="D58" s="21"/>
    </row>
    <row r="59" spans="1:4">
      <c r="A59" s="22" t="s">
        <v>78</v>
      </c>
      <c r="B59" s="23" t="s">
        <v>31</v>
      </c>
      <c r="C59" s="43">
        <v>63600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9655035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-6431835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-6431835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0</v>
      </c>
      <c r="D98" s="28"/>
    </row>
    <row r="99" spans="1:4" ht="15">
      <c r="A99" s="35"/>
      <c r="B99" s="27" t="s">
        <v>92</v>
      </c>
      <c r="C99" s="28">
        <v>2015362</v>
      </c>
      <c r="D99" s="28"/>
    </row>
  </sheetData>
  <phoneticPr fontId="7" type="noConversion"/>
  <conditionalFormatting sqref="A79">
    <cfRule type="expression" dxfId="0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J101"/>
  <sheetViews>
    <sheetView workbookViewId="0">
      <pane xSplit="2" ySplit="5" topLeftCell="C6" activePane="bottomRight" state="frozen"/>
      <selection activeCell="E10" sqref="E10"/>
      <selection pane="topRight" activeCell="E10" sqref="E10"/>
      <selection pane="bottomLeft" activeCell="E10" sqref="E10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8" width="16.7109375" style="5" customWidth="1"/>
    <col min="9" max="16384" width="9.14062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94</v>
      </c>
      <c r="D2" s="14" t="s">
        <v>95</v>
      </c>
      <c r="E2" s="14" t="s">
        <v>96</v>
      </c>
      <c r="F2" s="14" t="s">
        <v>97</v>
      </c>
      <c r="G2" s="14" t="s">
        <v>98</v>
      </c>
      <c r="H2" s="14" t="s">
        <v>99</v>
      </c>
    </row>
    <row r="3" spans="1:8">
      <c r="A3" s="12"/>
      <c r="B3" s="6" t="s">
        <v>106</v>
      </c>
      <c r="C3" s="14"/>
      <c r="D3" s="14"/>
      <c r="E3" s="14"/>
      <c r="F3" s="14"/>
      <c r="G3" s="14"/>
      <c r="H3" s="14"/>
    </row>
    <row r="4" spans="1:8">
      <c r="A4" s="12"/>
      <c r="B4" s="6" t="s">
        <v>93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16"/>
      <c r="D5" s="17"/>
      <c r="E5" s="16"/>
      <c r="F5" s="16"/>
      <c r="G5" s="16"/>
      <c r="H5" s="16"/>
    </row>
    <row r="6" spans="1:8" ht="15">
      <c r="A6" s="34"/>
      <c r="B6" s="27" t="s">
        <v>0</v>
      </c>
      <c r="C6" s="32"/>
      <c r="D6" s="32"/>
      <c r="E6" s="32"/>
      <c r="F6" s="32"/>
      <c r="G6" s="32"/>
      <c r="H6" s="32"/>
    </row>
    <row r="7" spans="1:8" s="47" customFormat="1">
      <c r="A7" s="18"/>
      <c r="B7" s="19" t="s">
        <v>46</v>
      </c>
      <c r="C7" s="8"/>
      <c r="D7" s="2"/>
      <c r="E7" s="8"/>
      <c r="F7" s="8"/>
      <c r="G7" s="8"/>
      <c r="H7" s="8"/>
    </row>
    <row r="8" spans="1:8" s="47" customFormat="1">
      <c r="A8" s="18"/>
      <c r="B8" s="48" t="s">
        <v>105</v>
      </c>
      <c r="C8" s="24">
        <v>1027511.99</v>
      </c>
      <c r="D8" s="24">
        <v>1130000</v>
      </c>
      <c r="E8" s="24">
        <v>2000000</v>
      </c>
      <c r="F8" s="24">
        <v>2185000</v>
      </c>
      <c r="G8" s="24">
        <v>1520000</v>
      </c>
      <c r="H8" s="24">
        <v>1570000</v>
      </c>
    </row>
    <row r="9" spans="1:8">
      <c r="A9" s="18"/>
      <c r="B9" s="19" t="s">
        <v>46</v>
      </c>
      <c r="C9" s="8"/>
      <c r="D9" s="2"/>
      <c r="E9" s="8"/>
      <c r="F9" s="8"/>
      <c r="G9" s="8"/>
      <c r="H9" s="8"/>
    </row>
    <row r="10" spans="1:8">
      <c r="A10" s="20"/>
      <c r="B10" s="3" t="s">
        <v>47</v>
      </c>
      <c r="C10" s="21">
        <f t="shared" ref="C10:H10" si="0">SUM(C11:C14)</f>
        <v>12233089.189999999</v>
      </c>
      <c r="D10" s="21">
        <f t="shared" si="0"/>
        <v>12360659</v>
      </c>
      <c r="E10" s="21">
        <f t="shared" si="0"/>
        <v>12240479</v>
      </c>
      <c r="F10" s="21">
        <f t="shared" si="0"/>
        <v>12517854</v>
      </c>
      <c r="G10" s="21">
        <f t="shared" si="0"/>
        <v>12808806</v>
      </c>
      <c r="H10" s="21">
        <f t="shared" si="0"/>
        <v>13196612</v>
      </c>
    </row>
    <row r="11" spans="1:8">
      <c r="A11" s="22" t="s">
        <v>51</v>
      </c>
      <c r="B11" s="23" t="s">
        <v>1</v>
      </c>
      <c r="C11" s="21">
        <v>4039644.71</v>
      </c>
      <c r="D11" s="21">
        <v>4419938</v>
      </c>
      <c r="E11" s="21">
        <f>SUM('VAL YHT:LAIKUIS'!C9)</f>
        <v>4537875</v>
      </c>
      <c r="F11" s="21">
        <v>4640705</v>
      </c>
      <c r="G11" s="21">
        <v>4748569</v>
      </c>
      <c r="H11" s="21">
        <v>4892339</v>
      </c>
    </row>
    <row r="12" spans="1:8">
      <c r="A12" s="22" t="s">
        <v>52</v>
      </c>
      <c r="B12" s="23" t="s">
        <v>53</v>
      </c>
      <c r="C12" s="21">
        <v>40858.92</v>
      </c>
      <c r="D12" s="21">
        <v>60000</v>
      </c>
      <c r="E12" s="21">
        <f>SUM('VAL YHT:LAIKUIS'!C10)</f>
        <v>50000</v>
      </c>
      <c r="F12" s="21">
        <v>51133</v>
      </c>
      <c r="G12" s="21">
        <v>52322</v>
      </c>
      <c r="H12" s="21">
        <v>53906</v>
      </c>
    </row>
    <row r="13" spans="1:8">
      <c r="A13" s="22" t="s">
        <v>54</v>
      </c>
      <c r="B13" s="23" t="s">
        <v>2</v>
      </c>
      <c r="C13" s="21">
        <v>6297920.0599999996</v>
      </c>
      <c r="D13" s="21">
        <v>6696441</v>
      </c>
      <c r="E13" s="21">
        <f>SUM('VAL YHT:LAIKUIS'!C11)</f>
        <v>6401586</v>
      </c>
      <c r="F13" s="21">
        <v>6546649</v>
      </c>
      <c r="G13" s="21">
        <v>6698812</v>
      </c>
      <c r="H13" s="21">
        <v>6901629</v>
      </c>
    </row>
    <row r="14" spans="1:8">
      <c r="A14" s="22" t="s">
        <v>55</v>
      </c>
      <c r="B14" s="23" t="s">
        <v>3</v>
      </c>
      <c r="C14" s="21">
        <v>1854665.5</v>
      </c>
      <c r="D14" s="21">
        <v>1184280</v>
      </c>
      <c r="E14" s="21">
        <f>SUM('VAL YHT:LAIKUIS'!C12)</f>
        <v>1251018</v>
      </c>
      <c r="F14" s="21">
        <v>1279367</v>
      </c>
      <c r="G14" s="21">
        <v>1309103</v>
      </c>
      <c r="H14" s="21">
        <v>1348738</v>
      </c>
    </row>
    <row r="15" spans="1:8">
      <c r="A15" s="22"/>
      <c r="B15" s="23"/>
      <c r="C15" s="24"/>
      <c r="D15" s="24"/>
      <c r="E15" s="24"/>
      <c r="F15" s="24"/>
      <c r="G15" s="24"/>
      <c r="H15" s="24"/>
    </row>
    <row r="16" spans="1:8">
      <c r="A16" s="25"/>
      <c r="B16" s="3" t="s">
        <v>4</v>
      </c>
      <c r="C16" s="21">
        <f t="shared" ref="C16:H16" si="1">SUM(C17:C22)</f>
        <v>7772752.2899999991</v>
      </c>
      <c r="D16" s="21">
        <f t="shared" si="1"/>
        <v>9146470</v>
      </c>
      <c r="E16" s="21">
        <f t="shared" si="1"/>
        <v>8901096</v>
      </c>
      <c r="F16" s="21">
        <f t="shared" si="1"/>
        <v>8967501</v>
      </c>
      <c r="G16" s="21">
        <f t="shared" si="1"/>
        <v>9175932</v>
      </c>
      <c r="H16" s="21">
        <f t="shared" si="1"/>
        <v>9453747</v>
      </c>
    </row>
    <row r="17" spans="1:10">
      <c r="A17" s="22" t="s">
        <v>56</v>
      </c>
      <c r="B17" s="23" t="s">
        <v>5</v>
      </c>
      <c r="C17" s="21"/>
      <c r="D17" s="21"/>
      <c r="E17" s="21">
        <f>SUM('VAL YHT:LAIKUIS'!C15)</f>
        <v>0</v>
      </c>
      <c r="F17" s="21">
        <f>SUM('VAL YHT:LAIKUIS'!F15)</f>
        <v>0</v>
      </c>
      <c r="G17" s="21">
        <f>SUM('VAL YHT:LAIKUIS'!G15)</f>
        <v>0</v>
      </c>
      <c r="H17" s="21">
        <f>SUM('VAL YHT:LAIKUIS'!H15)</f>
        <v>0</v>
      </c>
    </row>
    <row r="18" spans="1:10">
      <c r="A18" s="22" t="s">
        <v>57</v>
      </c>
      <c r="B18" s="23" t="s">
        <v>6</v>
      </c>
      <c r="C18" s="21"/>
      <c r="D18" s="21"/>
      <c r="E18" s="21">
        <f>SUM('VAL YHT:LAIKUIS'!C16)</f>
        <v>0</v>
      </c>
      <c r="F18" s="21">
        <f>SUM('VAL YHT:LAIKUIS'!F16)</f>
        <v>0</v>
      </c>
      <c r="G18" s="21">
        <f>SUM('VAL YHT:LAIKUIS'!G16)</f>
        <v>0</v>
      </c>
      <c r="H18" s="21">
        <f>SUM('VAL YHT:LAIKUIS'!H16)</f>
        <v>0</v>
      </c>
    </row>
    <row r="19" spans="1:10">
      <c r="A19" s="22" t="s">
        <v>58</v>
      </c>
      <c r="B19" s="23" t="s">
        <v>7</v>
      </c>
      <c r="C19" s="21">
        <v>6783752.9199999999</v>
      </c>
      <c r="D19" s="21">
        <v>8038200</v>
      </c>
      <c r="E19" s="21">
        <f>SUM('VAL YHT:LAIKUIS'!C17)</f>
        <v>8046500</v>
      </c>
      <c r="F19" s="21">
        <v>8093539</v>
      </c>
      <c r="G19" s="21">
        <v>8281657</v>
      </c>
      <c r="H19" s="21">
        <v>8532397</v>
      </c>
      <c r="J19" s="46"/>
    </row>
    <row r="20" spans="1:10">
      <c r="A20" s="22" t="s">
        <v>59</v>
      </c>
      <c r="B20" s="23" t="s">
        <v>8</v>
      </c>
      <c r="C20" s="21">
        <v>889340.44</v>
      </c>
      <c r="D20" s="21">
        <v>1071270</v>
      </c>
      <c r="E20" s="21">
        <f>SUM('VAL YHT:LAIKUIS'!C18)</f>
        <v>789507</v>
      </c>
      <c r="F20" s="21">
        <v>807398</v>
      </c>
      <c r="G20" s="21">
        <v>826164</v>
      </c>
      <c r="H20" s="21">
        <v>851177</v>
      </c>
    </row>
    <row r="21" spans="1:10">
      <c r="A21" s="22" t="s">
        <v>60</v>
      </c>
      <c r="B21" s="23" t="s">
        <v>9</v>
      </c>
      <c r="C21" s="21"/>
      <c r="D21" s="21"/>
      <c r="E21" s="21">
        <f>SUM('VAL YHT:LAIKUIS'!C19)</f>
        <v>0</v>
      </c>
      <c r="F21" s="21">
        <f>SUM('VAL YHT:LAIKUIS'!F19)</f>
        <v>0</v>
      </c>
      <c r="G21" s="21">
        <f>SUM('VAL YHT:LAIKUIS'!G19)</f>
        <v>0</v>
      </c>
      <c r="H21" s="21">
        <f>SUM('VAL YHT:LAIKUIS'!H19)</f>
        <v>0</v>
      </c>
    </row>
    <row r="22" spans="1:10">
      <c r="A22" s="22" t="s">
        <v>61</v>
      </c>
      <c r="B22" s="23" t="s">
        <v>10</v>
      </c>
      <c r="C22" s="21">
        <v>99658.93</v>
      </c>
      <c r="D22" s="21">
        <v>37000</v>
      </c>
      <c r="E22" s="21">
        <f>SUM('VAL YHT:LAIKUIS'!C20)</f>
        <v>65089</v>
      </c>
      <c r="F22" s="21">
        <v>66564</v>
      </c>
      <c r="G22" s="21">
        <v>68111</v>
      </c>
      <c r="H22" s="21">
        <v>70173</v>
      </c>
    </row>
    <row r="23" spans="1:10">
      <c r="A23" s="22"/>
      <c r="B23" s="23"/>
      <c r="C23" s="24"/>
      <c r="D23" s="24"/>
      <c r="E23" s="24"/>
      <c r="F23" s="24"/>
      <c r="G23" s="24"/>
      <c r="H23" s="24"/>
    </row>
    <row r="24" spans="1:10">
      <c r="A24" s="25"/>
      <c r="B24" s="3" t="s">
        <v>11</v>
      </c>
      <c r="C24" s="21">
        <f t="shared" ref="C24:H24" si="2">SUM(C25)</f>
        <v>5326255.18</v>
      </c>
      <c r="D24" s="21">
        <f t="shared" si="2"/>
        <v>5041587</v>
      </c>
      <c r="E24" s="21">
        <f t="shared" si="2"/>
        <v>4769314</v>
      </c>
      <c r="F24" s="21">
        <f t="shared" si="2"/>
        <v>4858114</v>
      </c>
      <c r="G24" s="21">
        <f t="shared" si="2"/>
        <v>4971030</v>
      </c>
      <c r="H24" s="21">
        <f t="shared" si="2"/>
        <v>5121536</v>
      </c>
    </row>
    <row r="25" spans="1:10">
      <c r="A25" s="22" t="s">
        <v>62</v>
      </c>
      <c r="B25" s="23" t="s">
        <v>11</v>
      </c>
      <c r="C25" s="21">
        <v>5326255.18</v>
      </c>
      <c r="D25" s="21">
        <v>5041587</v>
      </c>
      <c r="E25" s="21">
        <f>SUM('VAL YHT:LAIKUIS'!C23)</f>
        <v>4769314</v>
      </c>
      <c r="F25" s="21">
        <v>4858114</v>
      </c>
      <c r="G25" s="21">
        <v>4971030</v>
      </c>
      <c r="H25" s="21">
        <v>5121536</v>
      </c>
    </row>
    <row r="26" spans="1:10">
      <c r="A26" s="22"/>
      <c r="B26" s="23"/>
      <c r="C26" s="24"/>
      <c r="D26" s="24"/>
      <c r="E26" s="24"/>
      <c r="F26" s="24"/>
      <c r="G26" s="24"/>
      <c r="H26" s="24"/>
    </row>
    <row r="27" spans="1:10">
      <c r="A27" s="25"/>
      <c r="B27" s="3" t="s">
        <v>12</v>
      </c>
      <c r="C27" s="21">
        <f t="shared" ref="C27:H27" si="3">SUM(C28)</f>
        <v>178718.39</v>
      </c>
      <c r="D27" s="21">
        <f t="shared" si="3"/>
        <v>207900</v>
      </c>
      <c r="E27" s="21">
        <f t="shared" si="3"/>
        <v>164720</v>
      </c>
      <c r="F27" s="21">
        <f t="shared" si="3"/>
        <v>168453</v>
      </c>
      <c r="G27" s="21">
        <f t="shared" si="3"/>
        <v>172368</v>
      </c>
      <c r="H27" s="21">
        <f t="shared" si="3"/>
        <v>177587</v>
      </c>
    </row>
    <row r="28" spans="1:10">
      <c r="A28" s="22" t="s">
        <v>63</v>
      </c>
      <c r="B28" s="23" t="s">
        <v>12</v>
      </c>
      <c r="C28" s="21">
        <v>178718.39</v>
      </c>
      <c r="D28" s="21">
        <v>207900</v>
      </c>
      <c r="E28" s="21">
        <f>SUM('VAL YHT:LAIKUIS'!C26)</f>
        <v>164720</v>
      </c>
      <c r="F28" s="21">
        <v>168453</v>
      </c>
      <c r="G28" s="21">
        <v>172368</v>
      </c>
      <c r="H28" s="21">
        <v>177587</v>
      </c>
    </row>
    <row r="29" spans="1:10">
      <c r="A29" s="22"/>
      <c r="B29" s="23"/>
      <c r="C29" s="24"/>
      <c r="D29" s="24"/>
      <c r="E29" s="24"/>
      <c r="F29" s="24"/>
      <c r="G29" s="24"/>
      <c r="H29" s="24"/>
    </row>
    <row r="30" spans="1:10">
      <c r="A30" s="25"/>
      <c r="B30" s="3" t="s">
        <v>13</v>
      </c>
      <c r="C30" s="21">
        <f t="shared" ref="C30:H30" si="4">SUM(C31)</f>
        <v>554227.64</v>
      </c>
      <c r="D30" s="21">
        <f t="shared" si="4"/>
        <v>63000</v>
      </c>
      <c r="E30" s="21">
        <f t="shared" si="4"/>
        <v>13100</v>
      </c>
      <c r="F30" s="21">
        <f t="shared" si="4"/>
        <v>13397</v>
      </c>
      <c r="G30" s="21">
        <f t="shared" si="4"/>
        <v>13708</v>
      </c>
      <c r="H30" s="21">
        <f t="shared" si="4"/>
        <v>14123</v>
      </c>
    </row>
    <row r="31" spans="1:10">
      <c r="A31" s="22" t="s">
        <v>64</v>
      </c>
      <c r="B31" s="23" t="s">
        <v>13</v>
      </c>
      <c r="C31" s="21">
        <v>554227.64</v>
      </c>
      <c r="D31" s="21">
        <v>63000</v>
      </c>
      <c r="E31" s="21">
        <f>SUM('VAL YHT:LAIKUIS'!C29)</f>
        <v>13100</v>
      </c>
      <c r="F31" s="21">
        <v>13397</v>
      </c>
      <c r="G31" s="21">
        <v>13708</v>
      </c>
      <c r="H31" s="21">
        <v>14123</v>
      </c>
    </row>
    <row r="32" spans="1:10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ht="15">
      <c r="A33" s="35"/>
      <c r="B33" s="27" t="s">
        <v>14</v>
      </c>
      <c r="C33" s="28">
        <f t="shared" ref="C33:H33" si="5">C30+C27+C24+C16+C10</f>
        <v>26065042.689999998</v>
      </c>
      <c r="D33" s="28">
        <f t="shared" si="5"/>
        <v>26819616</v>
      </c>
      <c r="E33" s="28">
        <f t="shared" si="5"/>
        <v>26088709</v>
      </c>
      <c r="F33" s="28">
        <f t="shared" si="5"/>
        <v>26525319</v>
      </c>
      <c r="G33" s="28">
        <f t="shared" si="5"/>
        <v>27141844</v>
      </c>
      <c r="H33" s="28">
        <f t="shared" si="5"/>
        <v>27963605</v>
      </c>
    </row>
    <row r="34" spans="1:8">
      <c r="A34" s="22"/>
      <c r="B34" s="26" t="s">
        <v>46</v>
      </c>
      <c r="C34" s="24"/>
      <c r="D34" s="24"/>
      <c r="E34" s="24"/>
      <c r="F34" s="24"/>
      <c r="G34" s="24"/>
      <c r="H34" s="24"/>
    </row>
    <row r="35" spans="1:8">
      <c r="A35" s="25"/>
      <c r="B35" s="3" t="s">
        <v>15</v>
      </c>
      <c r="C35" s="21">
        <f t="shared" ref="C35:H35" si="6">SUM(C36)</f>
        <v>0</v>
      </c>
      <c r="D35" s="21">
        <f t="shared" si="6"/>
        <v>0</v>
      </c>
      <c r="E35" s="21">
        <f t="shared" si="6"/>
        <v>0</v>
      </c>
      <c r="F35" s="21">
        <f t="shared" si="6"/>
        <v>0</v>
      </c>
      <c r="G35" s="21">
        <f t="shared" si="6"/>
        <v>0</v>
      </c>
      <c r="H35" s="21">
        <f t="shared" si="6"/>
        <v>0</v>
      </c>
    </row>
    <row r="36" spans="1:8">
      <c r="A36" s="22" t="s">
        <v>65</v>
      </c>
      <c r="B36" s="23" t="s">
        <v>15</v>
      </c>
      <c r="C36" s="21"/>
      <c r="D36" s="21"/>
      <c r="E36" s="21">
        <f>SUM('VAL YHT:LAIKUIS'!E34)</f>
        <v>0</v>
      </c>
      <c r="F36" s="21">
        <f>SUM('VAL YHT:LAIKUIS'!F34)</f>
        <v>0</v>
      </c>
      <c r="G36" s="21">
        <f>SUM('VAL YHT:LAIKUIS'!G34)</f>
        <v>0</v>
      </c>
      <c r="H36" s="21">
        <f>SUM('VAL YHT:LAIKUIS'!H34)</f>
        <v>0</v>
      </c>
    </row>
    <row r="37" spans="1:8">
      <c r="A37" s="22"/>
      <c r="B37" s="26" t="s">
        <v>46</v>
      </c>
      <c r="C37" s="24"/>
      <c r="D37" s="24"/>
      <c r="E37" s="24"/>
      <c r="F37" s="24"/>
      <c r="G37" s="24"/>
      <c r="H37" s="24"/>
    </row>
    <row r="38" spans="1:8" ht="15">
      <c r="A38" s="35"/>
      <c r="B38" s="27" t="s">
        <v>16</v>
      </c>
      <c r="C38" s="28"/>
      <c r="D38" s="28"/>
      <c r="E38" s="28"/>
      <c r="F38" s="28"/>
      <c r="G38" s="28"/>
      <c r="H38" s="28"/>
    </row>
    <row r="39" spans="1:8" ht="15">
      <c r="A39" s="22"/>
      <c r="B39" s="7"/>
      <c r="C39" s="33"/>
      <c r="D39" s="33"/>
      <c r="E39" s="33"/>
      <c r="F39" s="33"/>
      <c r="G39" s="33"/>
      <c r="H39" s="33"/>
    </row>
    <row r="40" spans="1:8">
      <c r="A40" s="25"/>
      <c r="B40" s="29" t="s">
        <v>48</v>
      </c>
      <c r="C40" s="21">
        <f t="shared" ref="C40:H40" si="7">SUM(C41:C44)</f>
        <v>166805999.29999998</v>
      </c>
      <c r="D40" s="21">
        <f t="shared" si="7"/>
        <v>170962917.71999997</v>
      </c>
      <c r="E40" s="21">
        <f>SUM(E41:E44)+2</f>
        <v>176754966.49019</v>
      </c>
      <c r="F40" s="21">
        <f t="shared" si="7"/>
        <v>180760311</v>
      </c>
      <c r="G40" s="21">
        <f t="shared" si="7"/>
        <v>184961708</v>
      </c>
      <c r="H40" s="21">
        <f t="shared" si="7"/>
        <v>190561712</v>
      </c>
    </row>
    <row r="41" spans="1:8">
      <c r="A41" s="22" t="s">
        <v>66</v>
      </c>
      <c r="B41" s="23" t="s">
        <v>17</v>
      </c>
      <c r="C41" s="21">
        <v>132543728.70999999</v>
      </c>
      <c r="D41" s="21">
        <v>133998504.95999999</v>
      </c>
      <c r="E41" s="21">
        <f>SUM('VAL YHT:LAIKUIS'!C39)</f>
        <v>138842310.90000001</v>
      </c>
      <c r="F41" s="21">
        <v>141988539</v>
      </c>
      <c r="G41" s="21">
        <v>145288767</v>
      </c>
      <c r="H41" s="21">
        <v>149687611</v>
      </c>
    </row>
    <row r="42" spans="1:8">
      <c r="A42" s="22" t="s">
        <v>67</v>
      </c>
      <c r="B42" s="23" t="s">
        <v>18</v>
      </c>
      <c r="C42" s="21">
        <v>29707517.75</v>
      </c>
      <c r="D42" s="21">
        <v>30038070</v>
      </c>
      <c r="E42" s="21">
        <f>SUM('VAL YHT:LAIKUIS'!C40)-1</f>
        <v>30597742.665449999</v>
      </c>
      <c r="F42" s="21">
        <v>31291102</v>
      </c>
      <c r="G42" s="21">
        <v>32018398</v>
      </c>
      <c r="H42" s="21">
        <v>32987805</v>
      </c>
    </row>
    <row r="43" spans="1:8">
      <c r="A43" s="22" t="s">
        <v>68</v>
      </c>
      <c r="B43" s="23" t="s">
        <v>19</v>
      </c>
      <c r="C43" s="21">
        <v>7833354.8600000003</v>
      </c>
      <c r="D43" s="21">
        <v>8248547.6399999997</v>
      </c>
      <c r="E43" s="21">
        <f>SUM('VAL YHT:LAIKUIS'!C41)</f>
        <v>8681265.9247399997</v>
      </c>
      <c r="F43" s="21">
        <v>8877987</v>
      </c>
      <c r="G43" s="21">
        <v>9084338</v>
      </c>
      <c r="H43" s="21">
        <v>9359380</v>
      </c>
    </row>
    <row r="44" spans="1:8">
      <c r="A44" s="22" t="s">
        <v>69</v>
      </c>
      <c r="B44" s="23" t="s">
        <v>20</v>
      </c>
      <c r="C44" s="21">
        <v>-3278602.02</v>
      </c>
      <c r="D44" s="21">
        <v>-1322204.8799999999</v>
      </c>
      <c r="E44" s="21">
        <f>SUM('VAL YHT:LAIKUIS'!C42)</f>
        <v>-1366355</v>
      </c>
      <c r="F44" s="21">
        <v>-1397317</v>
      </c>
      <c r="G44" s="21">
        <v>-1429795</v>
      </c>
      <c r="H44" s="21">
        <v>-1473084</v>
      </c>
    </row>
    <row r="45" spans="1:8">
      <c r="A45" s="22"/>
      <c r="B45" s="23"/>
      <c r="C45" s="24"/>
      <c r="D45" s="24"/>
      <c r="E45" s="24"/>
      <c r="F45" s="24"/>
      <c r="G45" s="24"/>
      <c r="H45" s="24"/>
    </row>
    <row r="46" spans="1:8">
      <c r="A46" s="25"/>
      <c r="B46" s="29" t="s">
        <v>49</v>
      </c>
      <c r="C46" s="21">
        <f t="shared" ref="C46:H46" si="8">SUM(C47:C48)</f>
        <v>57016839.609999999</v>
      </c>
      <c r="D46" s="21">
        <f t="shared" si="8"/>
        <v>52227378.480000004</v>
      </c>
      <c r="E46" s="21">
        <f t="shared" si="8"/>
        <v>46581463</v>
      </c>
      <c r="F46" s="21">
        <f t="shared" si="8"/>
        <v>52989950</v>
      </c>
      <c r="G46" s="21">
        <f t="shared" si="8"/>
        <v>54221591</v>
      </c>
      <c r="H46" s="21">
        <f t="shared" si="8"/>
        <v>55863234</v>
      </c>
    </row>
    <row r="47" spans="1:8">
      <c r="A47" s="22" t="s">
        <v>70</v>
      </c>
      <c r="B47" s="23" t="s">
        <v>21</v>
      </c>
      <c r="C47" s="21">
        <v>13505942.960000001</v>
      </c>
      <c r="D47" s="21">
        <v>14341137.960000001</v>
      </c>
      <c r="E47" s="21">
        <f>SUM('VAL YHT:LAIKUIS'!C45)</f>
        <v>9418696</v>
      </c>
      <c r="F47" s="21">
        <v>14985058</v>
      </c>
      <c r="G47" s="21">
        <v>15333354</v>
      </c>
      <c r="H47" s="21">
        <v>15797595</v>
      </c>
    </row>
    <row r="48" spans="1:8">
      <c r="A48" s="22" t="s">
        <v>71</v>
      </c>
      <c r="B48" s="23" t="s">
        <v>22</v>
      </c>
      <c r="C48" s="21">
        <v>43510896.649999999</v>
      </c>
      <c r="D48" s="21">
        <v>37886240.520000003</v>
      </c>
      <c r="E48" s="21">
        <f>SUM('VAL YHT:LAIKUIS'!C46)</f>
        <v>37162767</v>
      </c>
      <c r="F48" s="21">
        <v>38004892</v>
      </c>
      <c r="G48" s="21">
        <v>38888237</v>
      </c>
      <c r="H48" s="21">
        <v>40065639</v>
      </c>
    </row>
    <row r="49" spans="1:8">
      <c r="A49" s="22"/>
      <c r="B49" s="23"/>
      <c r="C49" s="24"/>
      <c r="D49" s="24"/>
      <c r="E49" s="24"/>
      <c r="F49" s="24"/>
      <c r="G49" s="24"/>
      <c r="H49" s="24"/>
    </row>
    <row r="50" spans="1:8">
      <c r="A50" s="25"/>
      <c r="B50" s="29" t="s">
        <v>50</v>
      </c>
      <c r="C50" s="21">
        <f t="shared" ref="C50:H50" si="9">SUM(C51:C52)</f>
        <v>9665474.7799999993</v>
      </c>
      <c r="D50" s="21">
        <f t="shared" si="9"/>
        <v>9427690</v>
      </c>
      <c r="E50" s="21">
        <f t="shared" si="9"/>
        <v>9591468</v>
      </c>
      <c r="F50" s="21">
        <f t="shared" si="9"/>
        <v>9808815</v>
      </c>
      <c r="G50" s="21">
        <f t="shared" si="9"/>
        <v>10036800</v>
      </c>
      <c r="H50" s="21">
        <f t="shared" si="9"/>
        <v>10340680</v>
      </c>
    </row>
    <row r="51" spans="1:8">
      <c r="A51" s="22" t="s">
        <v>72</v>
      </c>
      <c r="B51" s="23" t="s">
        <v>23</v>
      </c>
      <c r="C51" s="21">
        <v>9667006.5</v>
      </c>
      <c r="D51" s="21">
        <v>9427690</v>
      </c>
      <c r="E51" s="21">
        <f>SUM('VAL YHT:LAIKUIS'!C49)</f>
        <v>9591468</v>
      </c>
      <c r="F51" s="21">
        <v>9808815</v>
      </c>
      <c r="G51" s="21">
        <v>10036800</v>
      </c>
      <c r="H51" s="21">
        <v>10340680</v>
      </c>
    </row>
    <row r="52" spans="1:8">
      <c r="A52" s="22" t="s">
        <v>73</v>
      </c>
      <c r="B52" s="23" t="s">
        <v>24</v>
      </c>
      <c r="C52" s="21">
        <v>-1531.72</v>
      </c>
      <c r="D52" s="21"/>
      <c r="E52" s="21">
        <f>SUM('VAL YHT:LAIKUIS'!C50)</f>
        <v>0</v>
      </c>
      <c r="F52" s="21">
        <f>SUM('VAL YHT:LAIKUIS'!F50)</f>
        <v>0</v>
      </c>
      <c r="G52" s="21">
        <f>SUM('VAL YHT:LAIKUIS'!G50)</f>
        <v>0</v>
      </c>
      <c r="H52" s="21">
        <f>SUM('VAL YHT:LAIKUIS'!H50)</f>
        <v>0</v>
      </c>
    </row>
    <row r="53" spans="1:8">
      <c r="A53" s="22"/>
      <c r="B53" s="23"/>
      <c r="C53" s="24"/>
      <c r="D53" s="24"/>
      <c r="E53" s="24"/>
      <c r="F53" s="24"/>
      <c r="G53" s="24"/>
      <c r="H53" s="24"/>
    </row>
    <row r="54" spans="1:8">
      <c r="A54" s="25"/>
      <c r="B54" s="29" t="s">
        <v>25</v>
      </c>
      <c r="C54" s="21">
        <f t="shared" ref="C54:H54" si="10">SUM(C55:C57)</f>
        <v>12911258.02</v>
      </c>
      <c r="D54" s="21">
        <f t="shared" si="10"/>
        <v>13036200</v>
      </c>
      <c r="E54" s="21">
        <f t="shared" si="10"/>
        <v>17202668</v>
      </c>
      <c r="F54" s="21">
        <f t="shared" si="10"/>
        <v>12104260</v>
      </c>
      <c r="G54" s="21">
        <f t="shared" si="10"/>
        <v>12385599</v>
      </c>
      <c r="H54" s="21">
        <f t="shared" si="10"/>
        <v>12760591</v>
      </c>
    </row>
    <row r="55" spans="1:8">
      <c r="A55" s="22" t="s">
        <v>74</v>
      </c>
      <c r="B55" s="23" t="s">
        <v>26</v>
      </c>
      <c r="C55" s="21">
        <v>12833628.02</v>
      </c>
      <c r="D55" s="21">
        <v>13032700</v>
      </c>
      <c r="E55" s="21">
        <f>SUM('VAL YHT:LAIKUIS'!C53)</f>
        <v>17092168</v>
      </c>
      <c r="F55" s="21">
        <v>11991256</v>
      </c>
      <c r="G55" s="21">
        <v>12269968</v>
      </c>
      <c r="H55" s="21">
        <v>12641460</v>
      </c>
    </row>
    <row r="56" spans="1:8">
      <c r="A56" s="22" t="s">
        <v>75</v>
      </c>
      <c r="B56" s="23" t="s">
        <v>27</v>
      </c>
      <c r="C56" s="21">
        <v>77630</v>
      </c>
      <c r="D56" s="21">
        <v>3500</v>
      </c>
      <c r="E56" s="21">
        <f>SUM('VAL YHT:LAIKUIS'!C54)</f>
        <v>110500</v>
      </c>
      <c r="F56" s="21">
        <v>113004</v>
      </c>
      <c r="G56" s="21">
        <v>115631</v>
      </c>
      <c r="H56" s="21">
        <v>119131</v>
      </c>
    </row>
    <row r="57" spans="1:8">
      <c r="A57" s="22" t="s">
        <v>76</v>
      </c>
      <c r="B57" s="23" t="s">
        <v>28</v>
      </c>
      <c r="C57" s="21"/>
      <c r="D57" s="21"/>
      <c r="E57" s="21">
        <f>SUM('VAL YHT:LAIKUIS'!C55)</f>
        <v>0</v>
      </c>
      <c r="F57" s="21">
        <f>SUM('VAL YHT:LAIKUIS'!F55)</f>
        <v>0</v>
      </c>
      <c r="G57" s="21">
        <f>SUM('VAL YHT:LAIKUIS'!G55)</f>
        <v>0</v>
      </c>
      <c r="H57" s="21">
        <f>SUM('VAL YHT:LAIKUIS'!H55)</f>
        <v>0</v>
      </c>
    </row>
    <row r="58" spans="1:8">
      <c r="A58" s="22"/>
      <c r="B58" s="23"/>
      <c r="C58" s="24"/>
      <c r="D58" s="24"/>
      <c r="E58" s="24"/>
      <c r="F58" s="24"/>
      <c r="G58" s="24"/>
      <c r="H58" s="24"/>
    </row>
    <row r="59" spans="1:8">
      <c r="A59" s="25"/>
      <c r="B59" s="29" t="s">
        <v>29</v>
      </c>
      <c r="C59" s="21">
        <f t="shared" ref="C59:H59" si="11">SUM(C60:C61)</f>
        <v>40546169.769999996</v>
      </c>
      <c r="D59" s="21">
        <f t="shared" si="11"/>
        <v>47178787</v>
      </c>
      <c r="E59" s="21">
        <f t="shared" si="11"/>
        <v>48592517</v>
      </c>
      <c r="F59" s="21">
        <f t="shared" si="11"/>
        <v>49674369</v>
      </c>
      <c r="G59" s="21">
        <f t="shared" si="11"/>
        <v>50828946</v>
      </c>
      <c r="H59" s="21">
        <f t="shared" si="11"/>
        <v>52367872</v>
      </c>
    </row>
    <row r="60" spans="1:8">
      <c r="A60" s="22" t="s">
        <v>77</v>
      </c>
      <c r="B60" s="23" t="s">
        <v>30</v>
      </c>
      <c r="C60" s="21">
        <v>40838344.609999999</v>
      </c>
      <c r="D60" s="21">
        <v>46595151</v>
      </c>
      <c r="E60" s="21">
        <f>SUM('VAL YHT:LAIKUIS'!C58)</f>
        <v>47751649</v>
      </c>
      <c r="F60" s="21">
        <v>48833722</v>
      </c>
      <c r="G60" s="21">
        <v>49968760</v>
      </c>
      <c r="H60" s="21">
        <v>51481642</v>
      </c>
    </row>
    <row r="61" spans="1:8">
      <c r="A61" s="22" t="s">
        <v>78</v>
      </c>
      <c r="B61" s="23" t="s">
        <v>31</v>
      </c>
      <c r="C61" s="21">
        <v>-292174.84000000003</v>
      </c>
      <c r="D61" s="21">
        <v>583636</v>
      </c>
      <c r="E61" s="21">
        <f>SUM('VAL YHT:LAIKUIS'!C59)</f>
        <v>840868</v>
      </c>
      <c r="F61" s="21">
        <v>840647</v>
      </c>
      <c r="G61" s="21">
        <v>860186</v>
      </c>
      <c r="H61" s="21">
        <v>886230</v>
      </c>
    </row>
    <row r="62" spans="1:8">
      <c r="A62" s="22"/>
      <c r="B62" s="26" t="s">
        <v>46</v>
      </c>
      <c r="C62" s="24"/>
      <c r="D62" s="24"/>
      <c r="E62" s="24"/>
      <c r="F62" s="24"/>
      <c r="G62" s="24"/>
      <c r="H62" s="24"/>
    </row>
    <row r="63" spans="1:8" ht="15">
      <c r="A63" s="35"/>
      <c r="B63" s="27" t="s">
        <v>32</v>
      </c>
      <c r="C63" s="28">
        <f t="shared" ref="C63:H63" si="12">C59+C54+C50+C46+C40</f>
        <v>286945741.47999996</v>
      </c>
      <c r="D63" s="28">
        <f t="shared" si="12"/>
        <v>292832973.19999999</v>
      </c>
      <c r="E63" s="28">
        <f t="shared" si="12"/>
        <v>298723082.49019003</v>
      </c>
      <c r="F63" s="28">
        <f t="shared" si="12"/>
        <v>305337705</v>
      </c>
      <c r="G63" s="28">
        <f t="shared" si="12"/>
        <v>312434644</v>
      </c>
      <c r="H63" s="28">
        <f t="shared" si="12"/>
        <v>321894089</v>
      </c>
    </row>
    <row r="64" spans="1:8">
      <c r="A64" s="22"/>
      <c r="B64" s="4" t="s">
        <v>46</v>
      </c>
      <c r="C64" s="24"/>
      <c r="D64" s="24"/>
      <c r="E64" s="24"/>
      <c r="F64" s="24"/>
      <c r="G64" s="24"/>
      <c r="H64" s="24"/>
    </row>
    <row r="65" spans="1:8" ht="15">
      <c r="A65" s="35"/>
      <c r="B65" s="27" t="s">
        <v>33</v>
      </c>
      <c r="C65" s="28">
        <f t="shared" ref="C65:H65" si="13">C33+C35-C63</f>
        <v>-260880698.78999996</v>
      </c>
      <c r="D65" s="28">
        <f t="shared" si="13"/>
        <v>-266013357.19999999</v>
      </c>
      <c r="E65" s="28">
        <f t="shared" si="13"/>
        <v>-272634373.49019003</v>
      </c>
      <c r="F65" s="28">
        <f t="shared" si="13"/>
        <v>-278812386</v>
      </c>
      <c r="G65" s="28">
        <f t="shared" si="13"/>
        <v>-285292800</v>
      </c>
      <c r="H65" s="28">
        <f t="shared" si="13"/>
        <v>-293930484</v>
      </c>
    </row>
    <row r="66" spans="1:8">
      <c r="A66" s="22"/>
      <c r="B66" s="26" t="s">
        <v>46</v>
      </c>
      <c r="C66" s="24"/>
      <c r="D66" s="24"/>
      <c r="E66" s="24"/>
      <c r="F66" s="24"/>
      <c r="G66" s="24"/>
      <c r="H66" s="24"/>
    </row>
    <row r="67" spans="1:8" hidden="1" outlineLevel="1">
      <c r="A67" s="25"/>
      <c r="B67" s="29" t="s">
        <v>34</v>
      </c>
      <c r="C67" s="21">
        <f t="shared" ref="C67:H67" si="14">SUM(C68:C70)</f>
        <v>0</v>
      </c>
      <c r="D67" s="21">
        <f t="shared" si="14"/>
        <v>0</v>
      </c>
      <c r="E67" s="21">
        <f t="shared" si="14"/>
        <v>0</v>
      </c>
      <c r="F67" s="21">
        <f t="shared" si="14"/>
        <v>0</v>
      </c>
      <c r="G67" s="21">
        <f t="shared" si="14"/>
        <v>0</v>
      </c>
      <c r="H67" s="21">
        <f t="shared" si="14"/>
        <v>0</v>
      </c>
    </row>
    <row r="68" spans="1:8" hidden="1" outlineLevel="1">
      <c r="A68" s="22" t="s">
        <v>79</v>
      </c>
      <c r="B68" s="23" t="s">
        <v>35</v>
      </c>
      <c r="C68" s="24"/>
      <c r="D68" s="24"/>
      <c r="E68" s="21">
        <f>SUM('VAL YHT:LAIKUIS'!J66)</f>
        <v>0</v>
      </c>
      <c r="F68" s="21">
        <f>SUM('VAL YHT:LAIKUIS'!K66)</f>
        <v>0</v>
      </c>
      <c r="G68" s="21">
        <f>SUM('VAL YHT:LAIKUIS'!L66)</f>
        <v>0</v>
      </c>
      <c r="H68" s="21">
        <f>SUM('VAL YHT:LAIKUIS'!M66)</f>
        <v>0</v>
      </c>
    </row>
    <row r="69" spans="1:8" hidden="1" outlineLevel="1">
      <c r="A69" s="22" t="s">
        <v>80</v>
      </c>
      <c r="B69" s="23" t="s">
        <v>36</v>
      </c>
      <c r="C69" s="24"/>
      <c r="D69" s="24"/>
      <c r="E69" s="21">
        <f>SUM('VAL YHT:LAIKUIS'!J67)</f>
        <v>0</v>
      </c>
      <c r="F69" s="21">
        <f>SUM('VAL YHT:LAIKUIS'!K67)</f>
        <v>0</v>
      </c>
      <c r="G69" s="21">
        <f>SUM('VAL YHT:LAIKUIS'!L67)</f>
        <v>0</v>
      </c>
      <c r="H69" s="21">
        <f>SUM('VAL YHT:LAIKUIS'!M67)</f>
        <v>0</v>
      </c>
    </row>
    <row r="70" spans="1:8" hidden="1" outlineLevel="1">
      <c r="A70" s="22" t="s">
        <v>81</v>
      </c>
      <c r="B70" s="23" t="s">
        <v>37</v>
      </c>
      <c r="C70" s="24"/>
      <c r="D70" s="24"/>
      <c r="E70" s="21">
        <f>SUM('VAL YHT:LAIKUIS'!J68)</f>
        <v>0</v>
      </c>
      <c r="F70" s="21">
        <f>SUM('VAL YHT:LAIKUIS'!K68)</f>
        <v>0</v>
      </c>
      <c r="G70" s="21">
        <f>SUM('VAL YHT:LAIKUIS'!L68)</f>
        <v>0</v>
      </c>
      <c r="H70" s="21">
        <f>SUM('VAL YHT:LAIKUIS'!M68)</f>
        <v>0</v>
      </c>
    </row>
    <row r="71" spans="1:8" hidden="1" outlineLevel="1">
      <c r="A71" s="22"/>
      <c r="B71" s="1" t="s">
        <v>46</v>
      </c>
      <c r="C71" s="24"/>
      <c r="D71" s="24"/>
      <c r="E71" s="24"/>
      <c r="F71" s="24"/>
      <c r="G71" s="24"/>
      <c r="H71" s="24"/>
    </row>
    <row r="72" spans="1:8" hidden="1" outlineLevel="1">
      <c r="A72" s="25"/>
      <c r="B72" s="29" t="s">
        <v>38</v>
      </c>
      <c r="C72" s="21">
        <f>SUM(C73:C74)</f>
        <v>0</v>
      </c>
      <c r="D72" s="21">
        <f>SUM(D73:D74)</f>
        <v>0</v>
      </c>
      <c r="E72" s="21">
        <f>E73-E74</f>
        <v>0</v>
      </c>
      <c r="F72" s="21">
        <f>F73-F74</f>
        <v>0</v>
      </c>
      <c r="G72" s="21">
        <f>G73-G74</f>
        <v>0</v>
      </c>
      <c r="H72" s="21">
        <f>H73-H74</f>
        <v>0</v>
      </c>
    </row>
    <row r="73" spans="1:8" hidden="1" outlineLevel="1">
      <c r="A73" s="22" t="s">
        <v>82</v>
      </c>
      <c r="B73" s="23" t="s">
        <v>39</v>
      </c>
      <c r="C73" s="24"/>
      <c r="D73" s="24"/>
      <c r="E73" s="21">
        <f>SUM('VAL YHT:LAIKUIS'!J71)</f>
        <v>0</v>
      </c>
      <c r="F73" s="21">
        <f>SUM('VAL YHT:LAIKUIS'!K71)</f>
        <v>0</v>
      </c>
      <c r="G73" s="21">
        <f>SUM('VAL YHT:LAIKUIS'!L71)</f>
        <v>0</v>
      </c>
      <c r="H73" s="21">
        <f>SUM('VAL YHT:LAIKUIS'!M71)</f>
        <v>0</v>
      </c>
    </row>
    <row r="74" spans="1:8" hidden="1" outlineLevel="1">
      <c r="A74" s="22" t="s">
        <v>83</v>
      </c>
      <c r="B74" s="23" t="s">
        <v>40</v>
      </c>
      <c r="C74" s="24"/>
      <c r="D74" s="24"/>
      <c r="E74" s="21">
        <f>SUM('VAL YHT:LAIKUIS'!J72)</f>
        <v>0</v>
      </c>
      <c r="F74" s="21">
        <f>SUM('VAL YHT:LAIKUIS'!K72)</f>
        <v>0</v>
      </c>
      <c r="G74" s="21">
        <f>SUM('VAL YHT:LAIKUIS'!L72)</f>
        <v>0</v>
      </c>
      <c r="H74" s="21">
        <f>SUM('VAL YHT:LAIKUIS'!M72)</f>
        <v>0</v>
      </c>
    </row>
    <row r="75" spans="1:8" hidden="1" outlineLevel="1">
      <c r="A75" s="22"/>
      <c r="B75" s="26" t="s">
        <v>46</v>
      </c>
      <c r="C75" s="24"/>
      <c r="D75" s="30"/>
      <c r="E75" s="24"/>
      <c r="F75" s="24"/>
      <c r="G75" s="24"/>
      <c r="H75" s="24"/>
    </row>
    <row r="76" spans="1:8" hidden="1" outlineLevel="1">
      <c r="A76" s="25"/>
      <c r="B76" s="29" t="s">
        <v>41</v>
      </c>
      <c r="C76" s="21">
        <f t="shared" ref="C76:H76" si="15">SUM(C77:C79)</f>
        <v>0</v>
      </c>
      <c r="D76" s="21">
        <f t="shared" si="15"/>
        <v>0</v>
      </c>
      <c r="E76" s="21">
        <f t="shared" si="15"/>
        <v>0</v>
      </c>
      <c r="F76" s="21">
        <f t="shared" si="15"/>
        <v>0</v>
      </c>
      <c r="G76" s="21">
        <f t="shared" si="15"/>
        <v>0</v>
      </c>
      <c r="H76" s="21">
        <f t="shared" si="15"/>
        <v>0</v>
      </c>
    </row>
    <row r="77" spans="1:8" hidden="1" outlineLevel="1">
      <c r="A77" s="22" t="s">
        <v>84</v>
      </c>
      <c r="B77" s="23" t="s">
        <v>42</v>
      </c>
      <c r="C77" s="24"/>
      <c r="D77" s="24"/>
      <c r="E77" s="21">
        <f>SUM('VAL YHT:LAIKUIS'!J75)</f>
        <v>0</v>
      </c>
      <c r="F77" s="21">
        <f>SUM('VAL YHT:LAIKUIS'!K75)</f>
        <v>0</v>
      </c>
      <c r="G77" s="21">
        <f>SUM('VAL YHT:LAIKUIS'!L75)</f>
        <v>0</v>
      </c>
      <c r="H77" s="21">
        <f>SUM('VAL YHT:LAIKUIS'!M75)</f>
        <v>0</v>
      </c>
    </row>
    <row r="78" spans="1:8" hidden="1" outlineLevel="1">
      <c r="A78" s="22" t="s">
        <v>85</v>
      </c>
      <c r="B78" s="23" t="s">
        <v>43</v>
      </c>
      <c r="C78" s="24"/>
      <c r="D78" s="24"/>
      <c r="E78" s="21">
        <f>SUM('VAL YHT:LAIKUIS'!J76)</f>
        <v>0</v>
      </c>
      <c r="F78" s="21">
        <f>SUM('VAL YHT:LAIKUIS'!K76)</f>
        <v>0</v>
      </c>
      <c r="G78" s="21">
        <f>SUM('VAL YHT:LAIKUIS'!L76)</f>
        <v>0</v>
      </c>
      <c r="H78" s="21">
        <f>SUM('VAL YHT:LAIKUIS'!M76)</f>
        <v>0</v>
      </c>
    </row>
    <row r="79" spans="1:8" hidden="1" outlineLevel="1">
      <c r="A79" s="22" t="s">
        <v>86</v>
      </c>
      <c r="B79" s="23" t="s">
        <v>44</v>
      </c>
      <c r="C79" s="24"/>
      <c r="D79" s="24"/>
      <c r="E79" s="21">
        <f>SUM('VAL YHT:LAIKUIS'!J77)</f>
        <v>0</v>
      </c>
      <c r="F79" s="21">
        <f>SUM('VAL YHT:LAIKUIS'!K77)</f>
        <v>0</v>
      </c>
      <c r="G79" s="21">
        <f>SUM('VAL YHT:LAIKUIS'!L77)</f>
        <v>0</v>
      </c>
      <c r="H79" s="21">
        <f>SUM('VAL YHT:LAIKUIS'!M77)</f>
        <v>0</v>
      </c>
    </row>
    <row r="80" spans="1:8" hidden="1" outlineLevel="1">
      <c r="A80" s="31"/>
      <c r="B80" s="4" t="s">
        <v>46</v>
      </c>
      <c r="C80" s="24"/>
      <c r="D80" s="30"/>
      <c r="E80" s="24"/>
      <c r="F80" s="24"/>
      <c r="G80" s="24"/>
      <c r="H80" s="24"/>
    </row>
    <row r="81" spans="1:8" ht="15" hidden="1" outlineLevel="1">
      <c r="A81" s="36"/>
      <c r="B81" s="27" t="s">
        <v>45</v>
      </c>
      <c r="C81" s="28">
        <f>C65-C67-C72-C76</f>
        <v>-260880698.78999996</v>
      </c>
      <c r="D81" s="28">
        <f>D65-D67-D72-D76</f>
        <v>-266013357.19999999</v>
      </c>
      <c r="E81" s="28">
        <f>E65-E67+E72-E76</f>
        <v>-272634373.49019003</v>
      </c>
      <c r="F81" s="28">
        <f>F65-F67+F72-F76</f>
        <v>-278812386</v>
      </c>
      <c r="G81" s="28">
        <f>G65-G67+G72-G76</f>
        <v>-285292800</v>
      </c>
      <c r="H81" s="28">
        <f>H65-H67+H72-H76</f>
        <v>-293930484</v>
      </c>
    </row>
    <row r="82" spans="1:8" hidden="1" outlineLevel="1"/>
    <row r="83" spans="1:8" hidden="1" outlineLevel="1"/>
    <row r="84" spans="1:8" ht="15" hidden="1" outlineLevel="1">
      <c r="A84" s="38" t="s">
        <v>87</v>
      </c>
    </row>
    <row r="85" spans="1:8" hidden="1" outlineLevel="1">
      <c r="B85" s="39"/>
    </row>
    <row r="86" spans="1:8" hidden="1" outlineLevel="1">
      <c r="B86" s="40"/>
    </row>
    <row r="87" spans="1:8" hidden="1" outlineLevel="1">
      <c r="B87" s="40"/>
    </row>
    <row r="88" spans="1:8" hidden="1" outlineLevel="1">
      <c r="B88" s="40"/>
    </row>
    <row r="89" spans="1:8" hidden="1" outlineLevel="1">
      <c r="B89" s="40"/>
    </row>
    <row r="90" spans="1:8" hidden="1" outlineLevel="1">
      <c r="B90" s="40"/>
    </row>
    <row r="91" spans="1:8" hidden="1" outlineLevel="1">
      <c r="B91" s="40"/>
    </row>
    <row r="92" spans="1:8" hidden="1" outlineLevel="1">
      <c r="B92" s="40"/>
    </row>
    <row r="93" spans="1:8" hidden="1" outlineLevel="1">
      <c r="B93" s="40"/>
    </row>
    <row r="94" spans="1:8" hidden="1" outlineLevel="1">
      <c r="B94" s="40"/>
    </row>
    <row r="95" spans="1:8" hidden="1" outlineLevel="1">
      <c r="B95" s="40"/>
    </row>
    <row r="96" spans="1:8" hidden="1" outlineLevel="1">
      <c r="B96" s="40"/>
    </row>
    <row r="97" spans="1:8" hidden="1" outlineLevel="1">
      <c r="B97" s="40"/>
    </row>
    <row r="98" spans="1:8" hidden="1" outlineLevel="1"/>
    <row r="99" spans="1:8" hidden="1" outlineLevel="1"/>
    <row r="100" spans="1:8" ht="15" collapsed="1">
      <c r="A100" s="35"/>
      <c r="B100" s="27" t="s">
        <v>91</v>
      </c>
      <c r="C100" s="28">
        <v>824079</v>
      </c>
      <c r="D100" s="28">
        <v>695704</v>
      </c>
      <c r="E100" s="28">
        <f>'VAL YHT'!C98+VAKAOP!C98+VAVARKPA!C98+VAPERUSO!C98+VARUKAOP!C98+LALUKIOT!C98+LAMMATIT!C98+LAIKUIS!C98</f>
        <v>698275</v>
      </c>
      <c r="F100" s="28">
        <f>SUM('VAL YHT:LAIKUIS'!F98)</f>
        <v>0</v>
      </c>
      <c r="G100" s="28">
        <f>SUM('VAL YHT:LAIKUIS'!G98)</f>
        <v>0</v>
      </c>
      <c r="H100" s="28">
        <f>SUM('VAL YHT:LAIKUIS'!H98)</f>
        <v>0</v>
      </c>
    </row>
    <row r="101" spans="1:8" ht="15">
      <c r="A101" s="35"/>
      <c r="B101" s="27" t="s">
        <v>92</v>
      </c>
      <c r="C101" s="28">
        <v>63006741</v>
      </c>
      <c r="D101" s="28">
        <v>66441056</v>
      </c>
      <c r="E101" s="28">
        <f>'VAL YHT'!C99+VAKAOP!C99+VAVARKPA!C99+VAPERUSO!C99+VARUKAOP!C99+LALUKIOT!C99+LAMMATIT!C99+LAIKUIS!C99</f>
        <v>60954714</v>
      </c>
      <c r="F101" s="28">
        <f>SUM('VAL YHT:LAIKUIS'!F99)</f>
        <v>0</v>
      </c>
      <c r="G101" s="28">
        <f>SUM('VAL YHT:LAIKUIS'!G99)</f>
        <v>0</v>
      </c>
      <c r="H101" s="28">
        <f>SUM('VAL YHT:LAIKUIS'!H99)</f>
        <v>0</v>
      </c>
    </row>
  </sheetData>
  <phoneticPr fontId="7" type="noConversion"/>
  <conditionalFormatting sqref="A81">
    <cfRule type="expression" dxfId="8" priority="1" stopIfTrue="1">
      <formula>#REF!="Y"</formula>
    </cfRule>
  </conditionalFormatting>
  <pageMargins left="0.66" right="0.35" top="0.28000000000000003" bottom="0.28000000000000003" header="0.23" footer="0.3"/>
  <pageSetup paperSize="9" scale="56" orientation="portrait" r:id="rId1"/>
  <headerFooter alignWithMargins="0"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E99"/>
  <sheetViews>
    <sheetView workbookViewId="0">
      <pane xSplit="2" ySplit="5" topLeftCell="C38" activePane="bottomRight" state="frozen"/>
      <selection activeCell="L43" sqref="L43"/>
      <selection pane="topRight" activeCell="L43" sqref="L43"/>
      <selection pane="bottomLeft" activeCell="L43" sqref="L4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100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0</v>
      </c>
      <c r="D8" s="21"/>
    </row>
    <row r="9" spans="1:4">
      <c r="A9" s="22" t="s">
        <v>51</v>
      </c>
      <c r="B9" s="23" t="s">
        <v>1</v>
      </c>
      <c r="C9" s="21">
        <v>0</v>
      </c>
      <c r="D9" s="21"/>
    </row>
    <row r="10" spans="1:4">
      <c r="A10" s="22" t="s">
        <v>52</v>
      </c>
      <c r="B10" s="23" t="s">
        <v>53</v>
      </c>
      <c r="C10" s="21">
        <v>0</v>
      </c>
      <c r="D10" s="21"/>
    </row>
    <row r="11" spans="1:4">
      <c r="A11" s="22" t="s">
        <v>54</v>
      </c>
      <c r="B11" s="23" t="s">
        <v>2</v>
      </c>
      <c r="C11" s="21">
        <v>0</v>
      </c>
      <c r="D11" s="21"/>
    </row>
    <row r="12" spans="1:4">
      <c r="A12" s="22" t="s">
        <v>55</v>
      </c>
      <c r="B12" s="23" t="s">
        <v>3</v>
      </c>
      <c r="C12" s="21">
        <v>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0</v>
      </c>
      <c r="D14" s="21"/>
    </row>
    <row r="15" spans="1:4">
      <c r="A15" s="22" t="s">
        <v>56</v>
      </c>
      <c r="B15" s="23" t="s">
        <v>5</v>
      </c>
      <c r="C15" s="21">
        <v>0</v>
      </c>
      <c r="D15" s="21"/>
    </row>
    <row r="16" spans="1:4">
      <c r="A16" s="22" t="s">
        <v>57</v>
      </c>
      <c r="B16" s="23" t="s">
        <v>6</v>
      </c>
      <c r="C16" s="21">
        <v>0</v>
      </c>
      <c r="D16" s="21"/>
    </row>
    <row r="17" spans="1:4">
      <c r="A17" s="22" t="s">
        <v>58</v>
      </c>
      <c r="B17" s="23" t="s">
        <v>7</v>
      </c>
      <c r="C17" s="21">
        <v>0</v>
      </c>
      <c r="D17" s="21"/>
    </row>
    <row r="18" spans="1:4">
      <c r="A18" s="22" t="s">
        <v>59</v>
      </c>
      <c r="B18" s="23" t="s">
        <v>8</v>
      </c>
      <c r="C18" s="21">
        <v>0</v>
      </c>
      <c r="D18" s="21"/>
    </row>
    <row r="19" spans="1:4">
      <c r="A19" s="22" t="s">
        <v>60</v>
      </c>
      <c r="B19" s="23" t="s">
        <v>9</v>
      </c>
      <c r="C19" s="21">
        <v>0</v>
      </c>
      <c r="D19" s="21"/>
    </row>
    <row r="20" spans="1:4">
      <c r="A20" s="22" t="s">
        <v>61</v>
      </c>
      <c r="B20" s="23" t="s">
        <v>10</v>
      </c>
      <c r="C20" s="21">
        <v>0</v>
      </c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0</v>
      </c>
      <c r="D22" s="21"/>
    </row>
    <row r="23" spans="1:4">
      <c r="A23" s="22" t="s">
        <v>62</v>
      </c>
      <c r="B23" s="23" t="s">
        <v>11</v>
      </c>
      <c r="C23" s="21">
        <v>0</v>
      </c>
      <c r="D23" s="21"/>
    </row>
    <row r="24" spans="1:4">
      <c r="A24" s="22"/>
      <c r="B24" s="23"/>
      <c r="C24" s="24"/>
      <c r="D24" s="24"/>
    </row>
    <row r="25" spans="1:4">
      <c r="A25" s="25"/>
      <c r="B25" s="3" t="s">
        <v>12</v>
      </c>
      <c r="C25" s="21">
        <f>SUM(C26)</f>
        <v>0</v>
      </c>
      <c r="D25" s="21"/>
    </row>
    <row r="26" spans="1:4">
      <c r="A26" s="22" t="s">
        <v>63</v>
      </c>
      <c r="B26" s="23" t="s">
        <v>12</v>
      </c>
      <c r="C26" s="21">
        <v>0</v>
      </c>
      <c r="D26" s="21"/>
    </row>
    <row r="27" spans="1:4">
      <c r="A27" s="22"/>
      <c r="B27" s="23"/>
      <c r="C27" s="24"/>
      <c r="D27" s="24"/>
    </row>
    <row r="28" spans="1:4">
      <c r="A28" s="25"/>
      <c r="B28" s="3" t="s">
        <v>13</v>
      </c>
      <c r="C28" s="21">
        <f>SUM(C29)</f>
        <v>0</v>
      </c>
      <c r="D28" s="21"/>
    </row>
    <row r="29" spans="1:4">
      <c r="A29" s="22" t="s">
        <v>64</v>
      </c>
      <c r="B29" s="23" t="s">
        <v>13</v>
      </c>
      <c r="C29" s="21">
        <v>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0</v>
      </c>
      <c r="D31" s="28"/>
    </row>
    <row r="32" spans="1:4">
      <c r="A32" s="22"/>
      <c r="B32" s="26" t="s">
        <v>46</v>
      </c>
      <c r="C32" s="24"/>
      <c r="D32" s="24"/>
    </row>
    <row r="33" spans="1:5">
      <c r="A33" s="25"/>
      <c r="B33" s="3" t="s">
        <v>15</v>
      </c>
      <c r="C33" s="21">
        <f>SUM(C34)</f>
        <v>0</v>
      </c>
      <c r="D33" s="21"/>
    </row>
    <row r="34" spans="1:5">
      <c r="A34" s="22" t="s">
        <v>65</v>
      </c>
      <c r="B34" s="23" t="s">
        <v>15</v>
      </c>
      <c r="C34" s="21">
        <v>0</v>
      </c>
      <c r="D34" s="21"/>
    </row>
    <row r="35" spans="1:5">
      <c r="A35" s="22"/>
      <c r="B35" s="26" t="s">
        <v>46</v>
      </c>
      <c r="C35" s="24"/>
      <c r="D35" s="37"/>
    </row>
    <row r="36" spans="1:5" ht="15">
      <c r="A36" s="35"/>
      <c r="B36" s="27" t="s">
        <v>16</v>
      </c>
      <c r="C36" s="28"/>
      <c r="D36" s="28"/>
    </row>
    <row r="37" spans="1:5" ht="15">
      <c r="A37" s="22"/>
      <c r="B37" s="7"/>
      <c r="C37" s="33"/>
      <c r="D37" s="33"/>
      <c r="E37"/>
    </row>
    <row r="38" spans="1:5">
      <c r="A38" s="25"/>
      <c r="B38" s="29" t="s">
        <v>48</v>
      </c>
      <c r="C38" s="21">
        <f>SUM(C39:C42)</f>
        <v>7109783</v>
      </c>
      <c r="D38" s="21"/>
      <c r="E38"/>
    </row>
    <row r="39" spans="1:5">
      <c r="A39" s="22" t="s">
        <v>66</v>
      </c>
      <c r="B39" s="23" t="s">
        <v>17</v>
      </c>
      <c r="C39" s="21">
        <v>330434</v>
      </c>
      <c r="D39" s="21"/>
      <c r="E39" s="41"/>
    </row>
    <row r="40" spans="1:5">
      <c r="A40" s="22" t="s">
        <v>67</v>
      </c>
      <c r="B40" s="23" t="s">
        <v>18</v>
      </c>
      <c r="C40" s="21">
        <v>6758664</v>
      </c>
      <c r="D40" s="21"/>
      <c r="E40" s="41"/>
    </row>
    <row r="41" spans="1:5">
      <c r="A41" s="22" t="s">
        <v>68</v>
      </c>
      <c r="B41" s="23" t="s">
        <v>19</v>
      </c>
      <c r="C41" s="21">
        <v>20685</v>
      </c>
      <c r="D41" s="21"/>
      <c r="E41" s="41"/>
    </row>
    <row r="42" spans="1:5">
      <c r="A42" s="22" t="s">
        <v>69</v>
      </c>
      <c r="B42" s="23" t="s">
        <v>20</v>
      </c>
      <c r="C42" s="21"/>
      <c r="D42" s="21"/>
    </row>
    <row r="43" spans="1:5">
      <c r="A43" s="22"/>
      <c r="B43" s="23"/>
      <c r="C43" s="24"/>
      <c r="D43" s="24"/>
    </row>
    <row r="44" spans="1:5">
      <c r="A44" s="25"/>
      <c r="B44" s="29" t="s">
        <v>49</v>
      </c>
      <c r="C44" s="21">
        <f>SUM(C45:C46)</f>
        <v>0</v>
      </c>
      <c r="D44" s="21"/>
    </row>
    <row r="45" spans="1:5">
      <c r="A45" s="22" t="s">
        <v>70</v>
      </c>
      <c r="B45" s="23" t="s">
        <v>21</v>
      </c>
      <c r="C45" s="21"/>
      <c r="D45" s="21"/>
    </row>
    <row r="46" spans="1:5">
      <c r="A46" s="22" t="s">
        <v>71</v>
      </c>
      <c r="B46" s="23" t="s">
        <v>22</v>
      </c>
      <c r="C46" s="21"/>
      <c r="D46" s="21"/>
    </row>
    <row r="47" spans="1:5">
      <c r="A47" s="22"/>
      <c r="B47" s="23"/>
      <c r="C47" s="24"/>
      <c r="D47" s="24"/>
    </row>
    <row r="48" spans="1:5">
      <c r="A48" s="25"/>
      <c r="B48" s="29" t="s">
        <v>50</v>
      </c>
      <c r="C48" s="21">
        <f>SUM(C49:C50)</f>
        <v>0</v>
      </c>
      <c r="D48" s="21"/>
    </row>
    <row r="49" spans="1:4">
      <c r="A49" s="22" t="s">
        <v>72</v>
      </c>
      <c r="B49" s="23" t="s">
        <v>23</v>
      </c>
      <c r="C49" s="21"/>
      <c r="D49" s="21"/>
    </row>
    <row r="50" spans="1:4">
      <c r="A50" s="22" t="s">
        <v>73</v>
      </c>
      <c r="B50" s="23" t="s">
        <v>24</v>
      </c>
      <c r="C50" s="21"/>
      <c r="D50" s="21"/>
    </row>
    <row r="51" spans="1:4">
      <c r="A51" s="22"/>
      <c r="B51" s="23"/>
      <c r="C51" s="24"/>
      <c r="D51" s="24"/>
    </row>
    <row r="52" spans="1:4">
      <c r="A52" s="25"/>
      <c r="B52" s="29" t="s">
        <v>25</v>
      </c>
      <c r="C52" s="21">
        <f>SUM(C53:C55)</f>
        <v>0</v>
      </c>
      <c r="D52" s="21"/>
    </row>
    <row r="53" spans="1:4">
      <c r="A53" s="22" t="s">
        <v>74</v>
      </c>
      <c r="B53" s="23" t="s">
        <v>26</v>
      </c>
      <c r="C53" s="21"/>
      <c r="D53" s="21"/>
    </row>
    <row r="54" spans="1:4">
      <c r="A54" s="22" t="s">
        <v>75</v>
      </c>
      <c r="B54" s="23" t="s">
        <v>27</v>
      </c>
      <c r="C54" s="21"/>
      <c r="D54" s="21"/>
    </row>
    <row r="55" spans="1:4">
      <c r="A55" s="22" t="s">
        <v>76</v>
      </c>
      <c r="B55" s="23" t="s">
        <v>28</v>
      </c>
      <c r="C55" s="21"/>
      <c r="D55" s="21"/>
    </row>
    <row r="56" spans="1:4">
      <c r="A56" s="22"/>
      <c r="B56" s="23"/>
      <c r="C56" s="24"/>
      <c r="D56" s="24"/>
    </row>
    <row r="57" spans="1:4">
      <c r="A57" s="25"/>
      <c r="B57" s="29" t="s">
        <v>29</v>
      </c>
      <c r="C57" s="21">
        <f>SUM(C58:C59)</f>
        <v>0</v>
      </c>
      <c r="D57" s="21"/>
    </row>
    <row r="58" spans="1:4">
      <c r="A58" s="22" t="s">
        <v>77</v>
      </c>
      <c r="B58" s="23" t="s">
        <v>30</v>
      </c>
      <c r="C58" s="21"/>
      <c r="D58" s="21"/>
    </row>
    <row r="59" spans="1:4">
      <c r="A59" s="22" t="s">
        <v>78</v>
      </c>
      <c r="B59" s="23" t="s">
        <v>31</v>
      </c>
      <c r="C59" s="21"/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7109783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-7109783</v>
      </c>
      <c r="D63" s="28"/>
    </row>
    <row r="64" spans="1:4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-7109783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collapsed="1"/>
    <row r="98" spans="1:4" ht="15">
      <c r="A98" s="35"/>
      <c r="B98" s="27" t="s">
        <v>91</v>
      </c>
      <c r="C98" s="28"/>
      <c r="D98" s="28"/>
    </row>
    <row r="99" spans="1:4" ht="15">
      <c r="A99" s="35"/>
      <c r="B99" s="27" t="s">
        <v>92</v>
      </c>
      <c r="C99" s="28"/>
      <c r="D99" s="28"/>
    </row>
  </sheetData>
  <phoneticPr fontId="7" type="noConversion"/>
  <conditionalFormatting sqref="A79">
    <cfRule type="expression" dxfId="7" priority="1" stopIfTrue="1">
      <formula>#REF!="Y"</formula>
    </cfRule>
  </conditionalFormatting>
  <pageMargins left="1.07" right="0.37" top="0.28000000000000003" bottom="0.31" header="0.25" footer="0.28999999999999998"/>
  <pageSetup paperSize="9" scale="91" orientation="portrait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89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26570</v>
      </c>
      <c r="D8" s="21"/>
    </row>
    <row r="9" spans="1:4">
      <c r="A9" s="22" t="s">
        <v>51</v>
      </c>
      <c r="B9" s="23" t="s">
        <v>1</v>
      </c>
      <c r="C9" s="21">
        <v>1870</v>
      </c>
      <c r="D9" s="21"/>
    </row>
    <row r="10" spans="1:4">
      <c r="A10" s="22" t="s">
        <v>52</v>
      </c>
      <c r="B10" s="23" t="s">
        <v>53</v>
      </c>
      <c r="C10" s="21">
        <v>0</v>
      </c>
      <c r="D10" s="21"/>
    </row>
    <row r="11" spans="1:4">
      <c r="A11" s="22" t="s">
        <v>54</v>
      </c>
      <c r="B11" s="23" t="s">
        <v>2</v>
      </c>
      <c r="C11" s="21">
        <v>0</v>
      </c>
      <c r="D11" s="21"/>
    </row>
    <row r="12" spans="1:4">
      <c r="A12" s="22" t="s">
        <v>55</v>
      </c>
      <c r="B12" s="23" t="s">
        <v>3</v>
      </c>
      <c r="C12" s="21">
        <v>24700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600</v>
      </c>
      <c r="D14" s="21"/>
    </row>
    <row r="15" spans="1:4">
      <c r="A15" s="22" t="s">
        <v>56</v>
      </c>
      <c r="B15" s="23" t="s">
        <v>5</v>
      </c>
      <c r="C15" s="21">
        <v>0</v>
      </c>
      <c r="D15" s="21"/>
    </row>
    <row r="16" spans="1:4">
      <c r="A16" s="22" t="s">
        <v>57</v>
      </c>
      <c r="B16" s="23" t="s">
        <v>6</v>
      </c>
      <c r="C16" s="21">
        <v>0</v>
      </c>
      <c r="D16" s="21"/>
    </row>
    <row r="17" spans="1:4">
      <c r="A17" s="22" t="s">
        <v>58</v>
      </c>
      <c r="B17" s="23" t="s">
        <v>7</v>
      </c>
      <c r="C17" s="21">
        <v>0</v>
      </c>
      <c r="D17" s="21"/>
    </row>
    <row r="18" spans="1:4">
      <c r="A18" s="22" t="s">
        <v>59</v>
      </c>
      <c r="B18" s="23" t="s">
        <v>8</v>
      </c>
      <c r="C18" s="21">
        <v>600</v>
      </c>
      <c r="D18" s="21"/>
    </row>
    <row r="19" spans="1:4">
      <c r="A19" s="22" t="s">
        <v>60</v>
      </c>
      <c r="B19" s="23" t="s">
        <v>9</v>
      </c>
      <c r="C19" s="21">
        <v>0</v>
      </c>
      <c r="D19" s="21"/>
    </row>
    <row r="20" spans="1:4">
      <c r="A20" s="22" t="s">
        <v>61</v>
      </c>
      <c r="B20" s="23" t="s">
        <v>10</v>
      </c>
      <c r="C20" s="21">
        <v>0</v>
      </c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1996235</v>
      </c>
      <c r="D22" s="21"/>
    </row>
    <row r="23" spans="1:4">
      <c r="A23" s="22" t="s">
        <v>62</v>
      </c>
      <c r="B23" s="23" t="s">
        <v>11</v>
      </c>
      <c r="C23" s="21">
        <v>1996235</v>
      </c>
      <c r="D23" s="21"/>
    </row>
    <row r="24" spans="1:4">
      <c r="A24" s="22"/>
      <c r="B24" s="23"/>
      <c r="C24" s="24"/>
      <c r="D24" s="24"/>
    </row>
    <row r="25" spans="1:4">
      <c r="A25" s="25"/>
      <c r="B25" s="3" t="s">
        <v>12</v>
      </c>
      <c r="C25" s="21">
        <f>SUM(C26)</f>
        <v>5550</v>
      </c>
      <c r="D25" s="21"/>
    </row>
    <row r="26" spans="1:4">
      <c r="A26" s="22" t="s">
        <v>63</v>
      </c>
      <c r="B26" s="23" t="s">
        <v>12</v>
      </c>
      <c r="C26" s="21">
        <v>5550</v>
      </c>
      <c r="D26" s="21"/>
    </row>
    <row r="27" spans="1:4">
      <c r="A27" s="22"/>
      <c r="B27" s="23"/>
      <c r="C27" s="24"/>
      <c r="D27" s="24"/>
    </row>
    <row r="28" spans="1:4">
      <c r="A28" s="25"/>
      <c r="B28" s="3" t="s">
        <v>13</v>
      </c>
      <c r="C28" s="21">
        <f>SUM(C29)</f>
        <v>7000</v>
      </c>
      <c r="D28" s="21"/>
    </row>
    <row r="29" spans="1:4">
      <c r="A29" s="22" t="s">
        <v>64</v>
      </c>
      <c r="B29" s="23" t="s">
        <v>13</v>
      </c>
      <c r="C29" s="21">
        <v>7000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2035955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>
        <v>0</v>
      </c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33"/>
    </row>
    <row r="38" spans="1:4">
      <c r="A38" s="25"/>
      <c r="B38" s="29" t="s">
        <v>48</v>
      </c>
      <c r="C38" s="21">
        <f>SUM(C39:C42)</f>
        <v>4722745.4951899992</v>
      </c>
      <c r="D38" s="21"/>
    </row>
    <row r="39" spans="1:4">
      <c r="A39" s="22" t="s">
        <v>66</v>
      </c>
      <c r="B39" s="23" t="s">
        <v>17</v>
      </c>
      <c r="C39" s="21">
        <f>3979519.9-104070</f>
        <v>3875449.9</v>
      </c>
      <c r="D39" s="21"/>
    </row>
    <row r="40" spans="1:4">
      <c r="A40" s="22" t="s">
        <v>67</v>
      </c>
      <c r="B40" s="23" t="s">
        <v>18</v>
      </c>
      <c r="C40" s="21">
        <f>645982.57345-17224</f>
        <v>628758.57345000003</v>
      </c>
      <c r="D40" s="21"/>
    </row>
    <row r="41" spans="1:4">
      <c r="A41" s="22" t="s">
        <v>68</v>
      </c>
      <c r="B41" s="23" t="s">
        <v>19</v>
      </c>
      <c r="C41" s="21">
        <f>244201.02174-6514</f>
        <v>237687.02174</v>
      </c>
      <c r="D41" s="21"/>
    </row>
    <row r="42" spans="1:4">
      <c r="A42" s="22" t="s">
        <v>69</v>
      </c>
      <c r="B42" s="23" t="s">
        <v>107</v>
      </c>
      <c r="C42" s="21">
        <v>-19150</v>
      </c>
      <c r="D42" s="21"/>
    </row>
    <row r="43" spans="1:4">
      <c r="A43" s="22"/>
      <c r="B43" s="23"/>
      <c r="C43" s="24"/>
      <c r="D43" s="24"/>
    </row>
    <row r="44" spans="1:4">
      <c r="A44" s="25"/>
      <c r="B44" s="29" t="s">
        <v>49</v>
      </c>
      <c r="C44" s="21">
        <f>SUM(C45:C46)</f>
        <v>3209912</v>
      </c>
      <c r="D44" s="21"/>
    </row>
    <row r="45" spans="1:4">
      <c r="A45" s="22" t="s">
        <v>70</v>
      </c>
      <c r="B45" s="23" t="s">
        <v>21</v>
      </c>
      <c r="C45" s="21"/>
      <c r="D45" s="21"/>
    </row>
    <row r="46" spans="1:4">
      <c r="A46" s="22" t="s">
        <v>71</v>
      </c>
      <c r="B46" s="23" t="s">
        <v>22</v>
      </c>
      <c r="C46" s="21">
        <f>3217072-7160</f>
        <v>3209912</v>
      </c>
      <c r="D46" s="21"/>
    </row>
    <row r="47" spans="1:4">
      <c r="A47" s="22"/>
      <c r="B47" s="23"/>
      <c r="C47" s="24"/>
      <c r="D47" s="24"/>
    </row>
    <row r="48" spans="1:4">
      <c r="A48" s="25"/>
      <c r="B48" s="29" t="s">
        <v>50</v>
      </c>
      <c r="C48" s="21">
        <f>SUM(C49:C50)</f>
        <v>292204</v>
      </c>
      <c r="D48" s="21"/>
    </row>
    <row r="49" spans="1:4">
      <c r="A49" s="22" t="s">
        <v>72</v>
      </c>
      <c r="B49" s="23" t="s">
        <v>23</v>
      </c>
      <c r="C49" s="21">
        <f>293064-860</f>
        <v>292204</v>
      </c>
      <c r="D49" s="21"/>
    </row>
    <row r="50" spans="1:4">
      <c r="A50" s="22" t="s">
        <v>73</v>
      </c>
      <c r="B50" s="23" t="s">
        <v>24</v>
      </c>
      <c r="C50" s="21"/>
      <c r="D50" s="21"/>
    </row>
    <row r="51" spans="1:4">
      <c r="A51" s="22"/>
      <c r="B51" s="23"/>
      <c r="C51" s="24"/>
      <c r="D51" s="24"/>
    </row>
    <row r="52" spans="1:4">
      <c r="A52" s="25"/>
      <c r="B52" s="29" t="s">
        <v>25</v>
      </c>
      <c r="C52" s="21">
        <f>SUM(C53:C55)</f>
        <v>24500</v>
      </c>
      <c r="D52" s="21"/>
    </row>
    <row r="53" spans="1:4">
      <c r="A53" s="22" t="s">
        <v>74</v>
      </c>
      <c r="B53" s="23" t="s">
        <v>26</v>
      </c>
      <c r="C53" s="21">
        <v>24500</v>
      </c>
      <c r="D53" s="21"/>
    </row>
    <row r="54" spans="1:4">
      <c r="A54" s="22" t="s">
        <v>75</v>
      </c>
      <c r="B54" s="23" t="s">
        <v>27</v>
      </c>
      <c r="C54" s="21"/>
      <c r="D54" s="21"/>
    </row>
    <row r="55" spans="1:4">
      <c r="A55" s="22" t="s">
        <v>76</v>
      </c>
      <c r="B55" s="23" t="s">
        <v>28</v>
      </c>
      <c r="C55" s="21"/>
      <c r="D55" s="21"/>
    </row>
    <row r="56" spans="1:4">
      <c r="A56" s="22"/>
      <c r="B56" s="23"/>
      <c r="C56" s="24"/>
      <c r="D56" s="24"/>
    </row>
    <row r="57" spans="1:4">
      <c r="A57" s="25"/>
      <c r="B57" s="29" t="s">
        <v>29</v>
      </c>
      <c r="C57" s="21">
        <f>SUM(C58:C59)</f>
        <v>831839</v>
      </c>
      <c r="D57" s="21"/>
    </row>
    <row r="58" spans="1:4">
      <c r="A58" s="22" t="s">
        <v>77</v>
      </c>
      <c r="B58" s="23" t="s">
        <v>30</v>
      </c>
      <c r="C58" s="21">
        <f>655260-300</f>
        <v>654960</v>
      </c>
      <c r="D58" s="21"/>
    </row>
    <row r="59" spans="1:4">
      <c r="A59" s="22" t="s">
        <v>78</v>
      </c>
      <c r="B59" s="23" t="s">
        <v>31</v>
      </c>
      <c r="C59" s="21">
        <f>178649-1770</f>
        <v>176879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9081200.4951899983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-7045245.4951899983</v>
      </c>
      <c r="D63" s="28"/>
    </row>
    <row r="64" spans="1:4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-7045245.4951899983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collapsed="1"/>
    <row r="98" spans="1:4" ht="15">
      <c r="A98" s="35"/>
      <c r="B98" s="27" t="s">
        <v>91</v>
      </c>
      <c r="C98" s="28"/>
      <c r="D98" s="28"/>
    </row>
    <row r="99" spans="1:4" ht="15">
      <c r="A99" s="35"/>
      <c r="B99" s="27" t="s">
        <v>92</v>
      </c>
      <c r="C99" s="28">
        <v>2576684</v>
      </c>
      <c r="D99" s="28"/>
    </row>
  </sheetData>
  <phoneticPr fontId="7" type="noConversion"/>
  <conditionalFormatting sqref="A79">
    <cfRule type="expression" dxfId="6" priority="1" stopIfTrue="1">
      <formula>#REF!="Y"</formula>
    </cfRule>
  </conditionalFormatting>
  <pageMargins left="0.82" right="0.49" top="0.27" bottom="0.28999999999999998" header="0.25" footer="0.28000000000000003"/>
  <pageSetup paperSize="9" scale="91" orientation="portrait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K20" sqref="K20"/>
    </sheetView>
  </sheetViews>
  <sheetFormatPr defaultColWidth="9.140625" defaultRowHeight="12.75" outlineLevelRow="1"/>
  <cols>
    <col min="1" max="1" width="6.28515625" style="5" customWidth="1"/>
    <col min="2" max="2" width="55.425781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88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285970</v>
      </c>
      <c r="D8" s="21"/>
    </row>
    <row r="9" spans="1:4">
      <c r="A9" s="22" t="s">
        <v>51</v>
      </c>
      <c r="B9" s="23" t="s">
        <v>1</v>
      </c>
      <c r="C9" s="21">
        <v>15970</v>
      </c>
      <c r="D9" s="21"/>
    </row>
    <row r="10" spans="1:4">
      <c r="A10" s="22" t="s">
        <v>52</v>
      </c>
      <c r="B10" s="23" t="s">
        <v>53</v>
      </c>
      <c r="C10" s="21">
        <v>50000</v>
      </c>
      <c r="D10" s="21"/>
    </row>
    <row r="11" spans="1:4">
      <c r="A11" s="22" t="s">
        <v>54</v>
      </c>
      <c r="B11" s="23" t="s">
        <v>2</v>
      </c>
      <c r="C11" s="21"/>
      <c r="D11" s="21"/>
    </row>
    <row r="12" spans="1:4">
      <c r="A12" s="22" t="s">
        <v>55</v>
      </c>
      <c r="B12" s="23" t="s">
        <v>3</v>
      </c>
      <c r="C12" s="21">
        <v>220000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7504589</v>
      </c>
      <c r="D14" s="21"/>
    </row>
    <row r="15" spans="1:4">
      <c r="A15" s="22" t="s">
        <v>56</v>
      </c>
      <c r="B15" s="23" t="s">
        <v>5</v>
      </c>
      <c r="C15" s="21"/>
      <c r="D15" s="21"/>
    </row>
    <row r="16" spans="1:4">
      <c r="A16" s="22" t="s">
        <v>57</v>
      </c>
      <c r="B16" s="23" t="s">
        <v>6</v>
      </c>
      <c r="C16" s="21"/>
      <c r="D16" s="21"/>
    </row>
    <row r="17" spans="1:4">
      <c r="A17" s="22" t="s">
        <v>58</v>
      </c>
      <c r="B17" s="23" t="s">
        <v>7</v>
      </c>
      <c r="C17" s="21">
        <v>7495589</v>
      </c>
      <c r="D17" s="21"/>
    </row>
    <row r="18" spans="1:4">
      <c r="A18" s="22" t="s">
        <v>59</v>
      </c>
      <c r="B18" s="23" t="s">
        <v>8</v>
      </c>
      <c r="C18" s="21">
        <v>9000</v>
      </c>
      <c r="D18" s="21"/>
    </row>
    <row r="19" spans="1:4">
      <c r="A19" s="22" t="s">
        <v>60</v>
      </c>
      <c r="B19" s="23" t="s">
        <v>9</v>
      </c>
      <c r="C19" s="21"/>
      <c r="D19" s="21"/>
    </row>
    <row r="20" spans="1:4">
      <c r="A20" s="22" t="s">
        <v>61</v>
      </c>
      <c r="B20" s="23" t="s">
        <v>10</v>
      </c>
      <c r="C20" s="21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0</v>
      </c>
      <c r="D22" s="21"/>
    </row>
    <row r="23" spans="1:4">
      <c r="A23" s="22" t="s">
        <v>62</v>
      </c>
      <c r="B23" s="23" t="s">
        <v>11</v>
      </c>
      <c r="C23" s="21"/>
      <c r="D23" s="21"/>
    </row>
    <row r="24" spans="1:4">
      <c r="A24" s="22"/>
      <c r="B24" s="23"/>
      <c r="C24" s="24"/>
      <c r="D24" s="24"/>
    </row>
    <row r="25" spans="1:4">
      <c r="A25" s="25"/>
      <c r="B25" s="3" t="s">
        <v>12</v>
      </c>
      <c r="C25" s="21">
        <f>SUM(C26)</f>
        <v>0</v>
      </c>
      <c r="D25" s="21"/>
    </row>
    <row r="26" spans="1:4">
      <c r="A26" s="22" t="s">
        <v>63</v>
      </c>
      <c r="B26" s="23" t="s">
        <v>12</v>
      </c>
      <c r="C26" s="21"/>
      <c r="D26" s="21"/>
    </row>
    <row r="27" spans="1:4">
      <c r="A27" s="22"/>
      <c r="B27" s="23"/>
      <c r="C27" s="24"/>
      <c r="D27" s="24"/>
    </row>
    <row r="28" spans="1:4">
      <c r="A28" s="25"/>
      <c r="B28" s="3" t="s">
        <v>13</v>
      </c>
      <c r="C28" s="21">
        <f>SUM(C29)</f>
        <v>0</v>
      </c>
      <c r="D28" s="21"/>
    </row>
    <row r="29" spans="1:4">
      <c r="A29" s="22" t="s">
        <v>64</v>
      </c>
      <c r="B29" s="23" t="s">
        <v>13</v>
      </c>
      <c r="C29" s="21"/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7790559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33"/>
    </row>
    <row r="38" spans="1:4">
      <c r="A38" s="25"/>
      <c r="B38" s="29" t="s">
        <v>48</v>
      </c>
      <c r="C38" s="21">
        <f>SUM(C39:C42)</f>
        <v>50790397</v>
      </c>
      <c r="D38" s="21"/>
    </row>
    <row r="39" spans="1:4">
      <c r="A39" s="22" t="s">
        <v>66</v>
      </c>
      <c r="B39" s="23" t="s">
        <v>17</v>
      </c>
      <c r="C39" s="21">
        <f>41762048-14026</f>
        <v>41748022</v>
      </c>
      <c r="D39" s="21"/>
    </row>
    <row r="40" spans="1:4">
      <c r="A40" s="22" t="s">
        <v>67</v>
      </c>
      <c r="B40" s="23" t="s">
        <v>18</v>
      </c>
      <c r="C40" s="21">
        <f>6911619-2321</f>
        <v>6909298</v>
      </c>
      <c r="D40" s="21"/>
    </row>
    <row r="41" spans="1:4">
      <c r="A41" s="22" t="s">
        <v>68</v>
      </c>
      <c r="B41" s="23" t="s">
        <v>19</v>
      </c>
      <c r="C41" s="21">
        <f>2614304-878</f>
        <v>2613426</v>
      </c>
      <c r="D41" s="21"/>
    </row>
    <row r="42" spans="1:4">
      <c r="A42" s="22" t="s">
        <v>69</v>
      </c>
      <c r="B42" s="23" t="s">
        <v>20</v>
      </c>
      <c r="C42" s="21">
        <f>-480507+158</f>
        <v>-480349</v>
      </c>
      <c r="D42" s="21"/>
    </row>
    <row r="43" spans="1:4">
      <c r="A43" s="22"/>
      <c r="B43" s="23"/>
      <c r="C43" s="24"/>
      <c r="D43" s="24"/>
    </row>
    <row r="44" spans="1:4">
      <c r="A44" s="25"/>
      <c r="B44" s="29" t="s">
        <v>49</v>
      </c>
      <c r="C44" s="21">
        <f>SUM(C45:C46)</f>
        <v>8153807</v>
      </c>
      <c r="D44" s="21"/>
    </row>
    <row r="45" spans="1:4">
      <c r="A45" s="22" t="s">
        <v>70</v>
      </c>
      <c r="B45" s="23" t="s">
        <v>21</v>
      </c>
      <c r="C45" s="21">
        <v>1506965</v>
      </c>
      <c r="D45" s="21"/>
    </row>
    <row r="46" spans="1:4">
      <c r="A46" s="22" t="s">
        <v>71</v>
      </c>
      <c r="B46" s="23" t="s">
        <v>22</v>
      </c>
      <c r="C46" s="21">
        <f>6683988-37146</f>
        <v>6646842</v>
      </c>
      <c r="D46" s="21"/>
    </row>
    <row r="47" spans="1:4">
      <c r="A47" s="22"/>
      <c r="B47" s="23"/>
      <c r="C47" s="24"/>
      <c r="D47" s="24"/>
    </row>
    <row r="48" spans="1:4">
      <c r="A48" s="25"/>
      <c r="B48" s="29" t="s">
        <v>50</v>
      </c>
      <c r="C48" s="21">
        <f>SUM(C49:C50)</f>
        <v>922575</v>
      </c>
      <c r="D48" s="21"/>
    </row>
    <row r="49" spans="1:4">
      <c r="A49" s="22" t="s">
        <v>72</v>
      </c>
      <c r="B49" s="23" t="s">
        <v>23</v>
      </c>
      <c r="C49" s="21">
        <v>922575</v>
      </c>
      <c r="D49" s="21"/>
    </row>
    <row r="50" spans="1:4">
      <c r="A50" s="22" t="s">
        <v>73</v>
      </c>
      <c r="B50" s="23" t="s">
        <v>24</v>
      </c>
      <c r="C50" s="21"/>
      <c r="D50" s="21"/>
    </row>
    <row r="51" spans="1:4">
      <c r="A51" s="22"/>
      <c r="B51" s="23"/>
      <c r="C51" s="24"/>
      <c r="D51" s="24"/>
    </row>
    <row r="52" spans="1:4">
      <c r="A52" s="25"/>
      <c r="B52" s="29" t="s">
        <v>25</v>
      </c>
      <c r="C52" s="21">
        <f>SUM(C53:C55)</f>
        <v>17156618</v>
      </c>
      <c r="D52" s="21"/>
    </row>
    <row r="53" spans="1:4">
      <c r="A53" s="22" t="s">
        <v>74</v>
      </c>
      <c r="B53" s="23" t="s">
        <v>26</v>
      </c>
      <c r="C53" s="21">
        <v>17056618</v>
      </c>
      <c r="D53" s="21"/>
    </row>
    <row r="54" spans="1:4">
      <c r="A54" s="22" t="s">
        <v>75</v>
      </c>
      <c r="B54" s="23" t="s">
        <v>27</v>
      </c>
      <c r="C54" s="21">
        <v>100000</v>
      </c>
      <c r="D54" s="21"/>
    </row>
    <row r="55" spans="1:4">
      <c r="A55" s="22" t="s">
        <v>76</v>
      </c>
      <c r="B55" s="23" t="s">
        <v>28</v>
      </c>
      <c r="C55" s="21"/>
      <c r="D55" s="21"/>
    </row>
    <row r="56" spans="1:4">
      <c r="A56" s="22"/>
      <c r="B56" s="23"/>
      <c r="C56" s="24"/>
      <c r="D56" s="24"/>
    </row>
    <row r="57" spans="1:4">
      <c r="A57" s="25"/>
      <c r="B57" s="29" t="s">
        <v>29</v>
      </c>
      <c r="C57" s="21">
        <f>SUM(C58:C59)</f>
        <v>8420175</v>
      </c>
      <c r="D57" s="21"/>
    </row>
    <row r="58" spans="1:4">
      <c r="A58" s="22" t="s">
        <v>77</v>
      </c>
      <c r="B58" s="23" t="s">
        <v>30</v>
      </c>
      <c r="C58" s="21">
        <f>8734095-482293</f>
        <v>8251802</v>
      </c>
      <c r="D58" s="21"/>
    </row>
    <row r="59" spans="1:4">
      <c r="A59" s="22" t="s">
        <v>78</v>
      </c>
      <c r="B59" s="23" t="s">
        <v>31</v>
      </c>
      <c r="C59" s="21">
        <v>168373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85443572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-77653013</v>
      </c>
      <c r="D63" s="28"/>
    </row>
    <row r="64" spans="1:4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-77653013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collapsed="1"/>
    <row r="98" spans="1:4" ht="15">
      <c r="A98" s="35"/>
      <c r="B98" s="27" t="s">
        <v>91</v>
      </c>
      <c r="C98" s="28">
        <v>0</v>
      </c>
      <c r="D98" s="28"/>
    </row>
    <row r="99" spans="1:4" ht="15">
      <c r="A99" s="35"/>
      <c r="B99" s="27" t="s">
        <v>92</v>
      </c>
      <c r="C99" s="28">
        <f>11595088-12115-4534</f>
        <v>11578439</v>
      </c>
      <c r="D99" s="28"/>
    </row>
  </sheetData>
  <phoneticPr fontId="7" type="noConversion"/>
  <conditionalFormatting sqref="A79">
    <cfRule type="expression" dxfId="5" priority="1" stopIfTrue="1">
      <formula>#REF!="Y"</formula>
    </cfRule>
  </conditionalFormatting>
  <pageMargins left="0.71" right="0.31" top="0.27" bottom="0.28000000000000003" header="0.23" footer="0.3"/>
  <pageSetup paperSize="9" scale="94" orientation="portrait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99" sqref="C99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5" width="9.140625" style="5"/>
    <col min="6" max="6" width="10.140625" style="5" bestFit="1" customWidth="1"/>
    <col min="7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90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6752365</v>
      </c>
      <c r="D8" s="21"/>
    </row>
    <row r="9" spans="1:4">
      <c r="A9" s="22" t="s">
        <v>51</v>
      </c>
      <c r="B9" s="23" t="s">
        <v>1</v>
      </c>
      <c r="C9" s="43">
        <v>34185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>
        <v>6060862</v>
      </c>
      <c r="D11" s="21"/>
    </row>
    <row r="12" spans="1:4">
      <c r="A12" s="22" t="s">
        <v>55</v>
      </c>
      <c r="B12" s="23" t="s">
        <v>3</v>
      </c>
      <c r="C12" s="43">
        <v>657318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49600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>
        <v>46500</v>
      </c>
      <c r="D17" s="21"/>
    </row>
    <row r="18" spans="1:4">
      <c r="A18" s="22" t="s">
        <v>59</v>
      </c>
      <c r="B18" s="23" t="s">
        <v>8</v>
      </c>
      <c r="C18" s="43">
        <v>3100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2470021</v>
      </c>
      <c r="D22" s="21"/>
    </row>
    <row r="23" spans="1:4">
      <c r="A23" s="22" t="s">
        <v>62</v>
      </c>
      <c r="B23" s="23" t="s">
        <v>11</v>
      </c>
      <c r="C23" s="43">
        <v>2470021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12550</v>
      </c>
      <c r="D25" s="21"/>
    </row>
    <row r="26" spans="1:4">
      <c r="A26" s="22" t="s">
        <v>63</v>
      </c>
      <c r="B26" s="23" t="s">
        <v>12</v>
      </c>
      <c r="C26" s="43">
        <v>12550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0</v>
      </c>
      <c r="D28" s="21"/>
    </row>
    <row r="29" spans="1:4">
      <c r="A29" s="22" t="s">
        <v>64</v>
      </c>
      <c r="B29" s="23" t="s">
        <v>13</v>
      </c>
      <c r="C29" s="43"/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9284536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60828648.994999997</v>
      </c>
      <c r="D38" s="21"/>
    </row>
    <row r="39" spans="1:4">
      <c r="A39" s="22" t="s">
        <v>66</v>
      </c>
      <c r="B39" s="23" t="s">
        <v>17</v>
      </c>
      <c r="C39" s="43">
        <f>53087263-3513905</f>
        <v>49573358</v>
      </c>
      <c r="D39" s="21"/>
    </row>
    <row r="40" spans="1:4">
      <c r="A40" s="22" t="s">
        <v>67</v>
      </c>
      <c r="B40" s="23" t="s">
        <v>18</v>
      </c>
      <c r="C40" s="43">
        <f>9476133.592-629709</f>
        <v>8846424.5920000002</v>
      </c>
      <c r="D40" s="21"/>
    </row>
    <row r="41" spans="1:4">
      <c r="A41" s="22" t="s">
        <v>68</v>
      </c>
      <c r="B41" s="23" t="s">
        <v>19</v>
      </c>
      <c r="C41" s="43">
        <f>3319287.403-219971</f>
        <v>3099316.4029999999</v>
      </c>
      <c r="D41" s="21"/>
    </row>
    <row r="42" spans="1:4">
      <c r="A42" s="22" t="s">
        <v>69</v>
      </c>
      <c r="B42" s="23" t="s">
        <v>20</v>
      </c>
      <c r="C42" s="43">
        <f>-732150+41700</f>
        <v>-690450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24084114</v>
      </c>
      <c r="D44" s="21"/>
    </row>
    <row r="45" spans="1:4">
      <c r="A45" s="22" t="s">
        <v>70</v>
      </c>
      <c r="B45" s="23" t="s">
        <v>21</v>
      </c>
      <c r="C45" s="43">
        <v>7911731</v>
      </c>
      <c r="D45" s="21"/>
    </row>
    <row r="46" spans="1:4">
      <c r="A46" s="22" t="s">
        <v>71</v>
      </c>
      <c r="B46" s="23" t="s">
        <v>22</v>
      </c>
      <c r="C46" s="43">
        <f>17481024-1308641</f>
        <v>16172383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3430295</v>
      </c>
      <c r="D48" s="21"/>
    </row>
    <row r="49" spans="1:4">
      <c r="A49" s="22" t="s">
        <v>72</v>
      </c>
      <c r="B49" s="23" t="s">
        <v>23</v>
      </c>
      <c r="C49" s="43">
        <v>3430295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7000</v>
      </c>
      <c r="D52" s="21"/>
    </row>
    <row r="53" spans="1:4">
      <c r="A53" s="22" t="s">
        <v>74</v>
      </c>
      <c r="B53" s="23" t="s">
        <v>26</v>
      </c>
      <c r="C53" s="43"/>
      <c r="D53" s="21"/>
    </row>
    <row r="54" spans="1:4">
      <c r="A54" s="22" t="s">
        <v>75</v>
      </c>
      <c r="B54" s="23" t="s">
        <v>27</v>
      </c>
      <c r="C54" s="43">
        <v>7000</v>
      </c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22126275</v>
      </c>
      <c r="D57" s="21"/>
    </row>
    <row r="58" spans="1:4">
      <c r="A58" s="22" t="s">
        <v>77</v>
      </c>
      <c r="B58" s="23" t="s">
        <v>30</v>
      </c>
      <c r="C58" s="43">
        <f>23887731-1904684</f>
        <v>21983047</v>
      </c>
      <c r="D58" s="21"/>
    </row>
    <row r="59" spans="1:4">
      <c r="A59" s="22" t="s">
        <v>78</v>
      </c>
      <c r="B59" s="23" t="s">
        <v>31</v>
      </c>
      <c r="C59" s="43">
        <v>143228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110476332.995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-101191796.995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-101191796.995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657318</v>
      </c>
      <c r="D98" s="28"/>
    </row>
    <row r="99" spans="1:4" ht="15">
      <c r="A99" s="35"/>
      <c r="B99" s="27" t="s">
        <v>92</v>
      </c>
      <c r="C99" s="28">
        <f>30240947-142769-60210-15511-294778</f>
        <v>29727679</v>
      </c>
      <c r="D99" s="28"/>
    </row>
  </sheetData>
  <conditionalFormatting sqref="A79">
    <cfRule type="expression" dxfId="4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F29" sqref="F29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101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304030</v>
      </c>
      <c r="D8" s="21"/>
    </row>
    <row r="9" spans="1:4">
      <c r="A9" s="22" t="s">
        <v>51</v>
      </c>
      <c r="B9" s="23" t="s">
        <v>1</v>
      </c>
      <c r="C9" s="43">
        <v>1030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>
        <v>303000</v>
      </c>
      <c r="D11" s="21"/>
    </row>
    <row r="12" spans="1:4">
      <c r="A12" s="22" t="s">
        <v>55</v>
      </c>
      <c r="B12" s="23" t="s">
        <v>3</v>
      </c>
      <c r="C12" s="43"/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546511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>
        <v>504411</v>
      </c>
      <c r="D17" s="21"/>
    </row>
    <row r="18" spans="1:4">
      <c r="A18" s="22" t="s">
        <v>59</v>
      </c>
      <c r="B18" s="23" t="s">
        <v>8</v>
      </c>
      <c r="C18" s="43">
        <v>42100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0</v>
      </c>
      <c r="D22" s="21"/>
    </row>
    <row r="23" spans="1:4">
      <c r="A23" s="22" t="s">
        <v>62</v>
      </c>
      <c r="B23" s="23" t="s">
        <v>11</v>
      </c>
      <c r="C23" s="43"/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1870</v>
      </c>
      <c r="D25" s="21"/>
    </row>
    <row r="26" spans="1:4">
      <c r="A26" s="22" t="s">
        <v>63</v>
      </c>
      <c r="B26" s="23" t="s">
        <v>12</v>
      </c>
      <c r="C26" s="43">
        <v>1870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0</v>
      </c>
      <c r="D28" s="21"/>
    </row>
    <row r="29" spans="1:4">
      <c r="A29" s="22" t="s">
        <v>64</v>
      </c>
      <c r="B29" s="23" t="s">
        <v>13</v>
      </c>
      <c r="C29" s="43"/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852411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8818831</v>
      </c>
      <c r="D38" s="21"/>
    </row>
    <row r="39" spans="1:4">
      <c r="A39" s="22" t="s">
        <v>66</v>
      </c>
      <c r="B39" s="23" t="s">
        <v>17</v>
      </c>
      <c r="C39" s="43">
        <f>3558491+104070+3513905+14026</f>
        <v>7190492</v>
      </c>
      <c r="D39" s="21"/>
    </row>
    <row r="40" spans="1:4">
      <c r="A40" s="22" t="s">
        <v>67</v>
      </c>
      <c r="B40" s="23" t="s">
        <v>18</v>
      </c>
      <c r="C40" s="43">
        <f>607047.5+17224+629709+2321</f>
        <v>1256301.5</v>
      </c>
      <c r="D40" s="21"/>
    </row>
    <row r="41" spans="1:4">
      <c r="A41" s="22" t="s">
        <v>68</v>
      </c>
      <c r="B41" s="23" t="s">
        <v>19</v>
      </c>
      <c r="C41" s="43">
        <f>222761.5+6514+219971+878</f>
        <v>450124.5</v>
      </c>
      <c r="D41" s="21"/>
    </row>
    <row r="42" spans="1:4">
      <c r="A42" s="22" t="s">
        <v>69</v>
      </c>
      <c r="B42" s="23" t="s">
        <v>20</v>
      </c>
      <c r="C42" s="43">
        <f>-36229-41700-158</f>
        <v>-78087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1974355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f>621408+7160+1308641+37146</f>
        <v>1974355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369126</v>
      </c>
      <c r="D48" s="21"/>
    </row>
    <row r="49" spans="1:4">
      <c r="A49" s="22" t="s">
        <v>72</v>
      </c>
      <c r="B49" s="23" t="s">
        <v>23</v>
      </c>
      <c r="C49" s="43">
        <f>368266+860</f>
        <v>369126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0</v>
      </c>
      <c r="D52" s="21"/>
    </row>
    <row r="53" spans="1:4">
      <c r="A53" s="22" t="s">
        <v>74</v>
      </c>
      <c r="B53" s="23" t="s">
        <v>26</v>
      </c>
      <c r="C53" s="43"/>
      <c r="D53" s="21"/>
    </row>
    <row r="54" spans="1:4">
      <c r="A54" s="22" t="s">
        <v>75</v>
      </c>
      <c r="B54" s="23" t="s">
        <v>27</v>
      </c>
      <c r="C54" s="43"/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2865365</v>
      </c>
      <c r="D57" s="21"/>
    </row>
    <row r="58" spans="1:4">
      <c r="A58" s="22" t="s">
        <v>77</v>
      </c>
      <c r="B58" s="23" t="s">
        <v>30</v>
      </c>
      <c r="C58" s="43">
        <f>405775+300+1904684+482293+51599</f>
        <v>2844651</v>
      </c>
      <c r="D58" s="21"/>
    </row>
    <row r="59" spans="1:4">
      <c r="A59" s="22" t="s">
        <v>78</v>
      </c>
      <c r="B59" s="23" t="s">
        <v>31</v>
      </c>
      <c r="C59" s="43">
        <f>18944+1770</f>
        <v>20714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14027677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-13175266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-13175266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/>
      <c r="D98" s="28"/>
    </row>
    <row r="99" spans="1:4" ht="15">
      <c r="A99" s="35"/>
      <c r="B99" s="27" t="s">
        <v>92</v>
      </c>
      <c r="C99" s="28">
        <f>687432+142769+60210+15511+294778+12115+4534</f>
        <v>1217349</v>
      </c>
      <c r="D99" s="28"/>
    </row>
  </sheetData>
  <conditionalFormatting sqref="A79">
    <cfRule type="expression" dxfId="3" priority="1" stopIfTrue="1">
      <formula>#REF!="Y"</formula>
    </cfRule>
  </conditionalFormatting>
  <pageMargins left="0.63" right="0.46" top="0.26" bottom="0.26" header="0.23" footer="0.28999999999999998"/>
  <pageSetup paperSize="9" scale="92" orientation="portrait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102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48744</v>
      </c>
      <c r="D8" s="21"/>
    </row>
    <row r="9" spans="1:4">
      <c r="A9" s="22" t="s">
        <v>51</v>
      </c>
      <c r="B9" s="23" t="s">
        <v>1</v>
      </c>
      <c r="C9" s="43">
        <v>11020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>
        <v>37724</v>
      </c>
      <c r="D11" s="21"/>
    </row>
    <row r="12" spans="1:4">
      <c r="A12" s="22" t="s">
        <v>55</v>
      </c>
      <c r="B12" s="23" t="s">
        <v>3</v>
      </c>
      <c r="C12" s="43"/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127707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/>
      <c r="D17" s="21"/>
    </row>
    <row r="18" spans="1:4">
      <c r="A18" s="22" t="s">
        <v>59</v>
      </c>
      <c r="B18" s="23" t="s">
        <v>8</v>
      </c>
      <c r="C18" s="43">
        <v>127707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196858</v>
      </c>
      <c r="D22" s="21"/>
    </row>
    <row r="23" spans="1:4">
      <c r="A23" s="22" t="s">
        <v>62</v>
      </c>
      <c r="B23" s="23" t="s">
        <v>11</v>
      </c>
      <c r="C23" s="43">
        <v>196858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5000</v>
      </c>
      <c r="D25" s="21"/>
    </row>
    <row r="26" spans="1:4">
      <c r="A26" s="22" t="s">
        <v>63</v>
      </c>
      <c r="B26" s="23" t="s">
        <v>12</v>
      </c>
      <c r="C26" s="43">
        <v>5000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200</v>
      </c>
      <c r="D28" s="21"/>
    </row>
    <row r="29" spans="1:4">
      <c r="A29" s="22" t="s">
        <v>64</v>
      </c>
      <c r="B29" s="23" t="s">
        <v>13</v>
      </c>
      <c r="C29" s="43">
        <v>200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378509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14860877</v>
      </c>
      <c r="D38" s="21"/>
    </row>
    <row r="39" spans="1:4">
      <c r="A39" s="22" t="s">
        <v>66</v>
      </c>
      <c r="B39" s="23" t="s">
        <v>17</v>
      </c>
      <c r="C39" s="43">
        <v>12003883</v>
      </c>
      <c r="D39" s="21"/>
    </row>
    <row r="40" spans="1:4">
      <c r="A40" s="22" t="s">
        <v>67</v>
      </c>
      <c r="B40" s="23" t="s">
        <v>18</v>
      </c>
      <c r="C40" s="43">
        <v>2206105</v>
      </c>
      <c r="D40" s="21"/>
    </row>
    <row r="41" spans="1:4">
      <c r="A41" s="22" t="s">
        <v>68</v>
      </c>
      <c r="B41" s="23" t="s">
        <v>19</v>
      </c>
      <c r="C41" s="43">
        <v>750168</v>
      </c>
      <c r="D41" s="21"/>
    </row>
    <row r="42" spans="1:4">
      <c r="A42" s="22" t="s">
        <v>69</v>
      </c>
      <c r="B42" s="23" t="s">
        <v>20</v>
      </c>
      <c r="C42" s="43">
        <v>-99279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2775451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v>2775451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316976</v>
      </c>
      <c r="D48" s="21"/>
    </row>
    <row r="49" spans="1:4">
      <c r="A49" s="22" t="s">
        <v>72</v>
      </c>
      <c r="B49" s="23" t="s">
        <v>23</v>
      </c>
      <c r="C49" s="43">
        <v>316976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0</v>
      </c>
      <c r="D52" s="21"/>
    </row>
    <row r="53" spans="1:4">
      <c r="A53" s="22" t="s">
        <v>74</v>
      </c>
      <c r="B53" s="23" t="s">
        <v>26</v>
      </c>
      <c r="C53" s="43"/>
      <c r="D53" s="21"/>
    </row>
    <row r="54" spans="1:4">
      <c r="A54" s="22" t="s">
        <v>75</v>
      </c>
      <c r="B54" s="23" t="s">
        <v>27</v>
      </c>
      <c r="C54" s="43"/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3762664</v>
      </c>
      <c r="D57" s="21"/>
    </row>
    <row r="58" spans="1:4">
      <c r="A58" s="22" t="s">
        <v>77</v>
      </c>
      <c r="B58" s="23" t="s">
        <v>30</v>
      </c>
      <c r="C58" s="43">
        <v>3734960</v>
      </c>
      <c r="D58" s="21"/>
    </row>
    <row r="59" spans="1:4">
      <c r="A59" s="22" t="s">
        <v>78</v>
      </c>
      <c r="B59" s="23" t="s">
        <v>31</v>
      </c>
      <c r="C59" s="43">
        <v>27704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21715968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-21337459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-21337459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15957</v>
      </c>
      <c r="D98" s="28"/>
    </row>
    <row r="99" spans="1:4" ht="15">
      <c r="A99" s="35"/>
      <c r="B99" s="27" t="s">
        <v>92</v>
      </c>
      <c r="C99" s="28">
        <v>4865490</v>
      </c>
      <c r="D99" s="28"/>
    </row>
  </sheetData>
  <conditionalFormatting sqref="A79">
    <cfRule type="expression" dxfId="2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103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2320800</v>
      </c>
      <c r="D8" s="21"/>
    </row>
    <row r="9" spans="1:4">
      <c r="A9" s="22" t="s">
        <v>51</v>
      </c>
      <c r="B9" s="23" t="s">
        <v>1</v>
      </c>
      <c r="C9" s="43">
        <v>1973800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/>
      <c r="D11" s="21"/>
    </row>
    <row r="12" spans="1:4">
      <c r="A12" s="22" t="s">
        <v>55</v>
      </c>
      <c r="B12" s="23" t="s">
        <v>3</v>
      </c>
      <c r="C12" s="43">
        <v>347000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67089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/>
      <c r="D17" s="21"/>
    </row>
    <row r="18" spans="1:4">
      <c r="A18" s="22" t="s">
        <v>59</v>
      </c>
      <c r="B18" s="23" t="s">
        <v>8</v>
      </c>
      <c r="C18" s="43">
        <v>2000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>
        <v>65089</v>
      </c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19000</v>
      </c>
      <c r="D22" s="21"/>
    </row>
    <row r="23" spans="1:4">
      <c r="A23" s="22" t="s">
        <v>62</v>
      </c>
      <c r="B23" s="23" t="s">
        <v>11</v>
      </c>
      <c r="C23" s="43">
        <v>19000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110750</v>
      </c>
      <c r="D25" s="21"/>
    </row>
    <row r="26" spans="1:4">
      <c r="A26" s="22" t="s">
        <v>63</v>
      </c>
      <c r="B26" s="23" t="s">
        <v>12</v>
      </c>
      <c r="C26" s="43">
        <v>110750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5900</v>
      </c>
      <c r="D28" s="21"/>
    </row>
    <row r="29" spans="1:4">
      <c r="A29" s="22" t="s">
        <v>64</v>
      </c>
      <c r="B29" s="23" t="s">
        <v>13</v>
      </c>
      <c r="C29" s="43">
        <v>5900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2523539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23077688</v>
      </c>
      <c r="D38" s="21"/>
    </row>
    <row r="39" spans="1:4">
      <c r="A39" s="22" t="s">
        <v>66</v>
      </c>
      <c r="B39" s="23" t="s">
        <v>17</v>
      </c>
      <c r="C39" s="43">
        <v>18791571</v>
      </c>
      <c r="D39" s="21"/>
    </row>
    <row r="40" spans="1:4">
      <c r="A40" s="22" t="s">
        <v>67</v>
      </c>
      <c r="B40" s="23" t="s">
        <v>18</v>
      </c>
      <c r="C40" s="43">
        <v>3110005</v>
      </c>
      <c r="D40" s="21"/>
    </row>
    <row r="41" spans="1:4">
      <c r="A41" s="22" t="s">
        <v>68</v>
      </c>
      <c r="B41" s="23" t="s">
        <v>19</v>
      </c>
      <c r="C41" s="43">
        <v>1176352</v>
      </c>
      <c r="D41" s="21"/>
    </row>
    <row r="42" spans="1:4">
      <c r="A42" s="22" t="s">
        <v>69</v>
      </c>
      <c r="B42" s="23" t="s">
        <v>20</v>
      </c>
      <c r="C42" s="43">
        <v>-240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5560282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v>5560282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3890565</v>
      </c>
      <c r="D48" s="21"/>
    </row>
    <row r="49" spans="1:4">
      <c r="A49" s="22" t="s">
        <v>72</v>
      </c>
      <c r="B49" s="23" t="s">
        <v>23</v>
      </c>
      <c r="C49" s="43">
        <v>3890565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9850</v>
      </c>
      <c r="D52" s="21"/>
    </row>
    <row r="53" spans="1:4">
      <c r="A53" s="22" t="s">
        <v>74</v>
      </c>
      <c r="B53" s="23" t="s">
        <v>26</v>
      </c>
      <c r="C53" s="43">
        <v>9850</v>
      </c>
      <c r="D53" s="21"/>
    </row>
    <row r="54" spans="1:4">
      <c r="A54" s="22" t="s">
        <v>75</v>
      </c>
      <c r="B54" s="23" t="s">
        <v>27</v>
      </c>
      <c r="C54" s="43"/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8675128</v>
      </c>
      <c r="D57" s="21"/>
    </row>
    <row r="58" spans="1:4">
      <c r="A58" s="22" t="s">
        <v>77</v>
      </c>
      <c r="B58" s="23" t="s">
        <v>30</v>
      </c>
      <c r="C58" s="43">
        <v>8434758</v>
      </c>
      <c r="D58" s="21"/>
    </row>
    <row r="59" spans="1:4">
      <c r="A59" s="22" t="s">
        <v>78</v>
      </c>
      <c r="B59" s="23" t="s">
        <v>31</v>
      </c>
      <c r="C59" s="43">
        <v>240370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41213513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-38689974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-38689974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25000</v>
      </c>
      <c r="D98" s="28"/>
    </row>
    <row r="99" spans="1:4" ht="15">
      <c r="A99" s="35"/>
      <c r="B99" s="27" t="s">
        <v>92</v>
      </c>
      <c r="C99" s="28">
        <v>8973711</v>
      </c>
      <c r="D99" s="28"/>
    </row>
  </sheetData>
  <conditionalFormatting sqref="A79">
    <cfRule type="expression" dxfId="1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VAPELK YHT</vt:lpstr>
      <vt:lpstr>VAPELK</vt:lpstr>
      <vt:lpstr>VAL YHT</vt:lpstr>
      <vt:lpstr>VAKAOP</vt:lpstr>
      <vt:lpstr>VAVARKPA</vt:lpstr>
      <vt:lpstr>VAPERUSO</vt:lpstr>
      <vt:lpstr>VARUKAOP</vt:lpstr>
      <vt:lpstr>LALUKIOT</vt:lpstr>
      <vt:lpstr>LAMMATIT</vt:lpstr>
      <vt:lpstr>LAIKUIS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Mikkola</dc:creator>
  <cp:lastModifiedBy>Skyttä Pirjo</cp:lastModifiedBy>
  <cp:lastPrinted>2013-03-11T12:11:02Z</cp:lastPrinted>
  <dcterms:created xsi:type="dcterms:W3CDTF">2010-05-19T10:31:59Z</dcterms:created>
  <dcterms:modified xsi:type="dcterms:W3CDTF">2013-03-19T09:02:33Z</dcterms:modified>
</cp:coreProperties>
</file>