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7115" windowHeight="8955" activeTab="1"/>
  </bookViews>
  <sheets>
    <sheet name="TP 2011" sheetId="1" r:id="rId1"/>
    <sheet name="TA 2011 vs TP 2011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21" i="2" l="1"/>
  <c r="E13" i="2"/>
  <c r="E9" i="2"/>
  <c r="E12" i="2"/>
  <c r="E20" i="2"/>
  <c r="E8" i="2"/>
  <c r="C17" i="2"/>
  <c r="C25" i="2" s="1"/>
  <c r="E25" i="2" s="1"/>
  <c r="C16" i="2"/>
  <c r="E16" i="2" s="1"/>
  <c r="C24" i="2"/>
  <c r="E24" i="2" s="1"/>
  <c r="C22" i="2"/>
  <c r="E22" i="2" s="1"/>
  <c r="C14" i="2"/>
  <c r="E14" i="2" s="1"/>
  <c r="C10" i="2"/>
  <c r="E10" i="2" s="1"/>
  <c r="I21" i="1"/>
  <c r="I17" i="1"/>
  <c r="I20" i="1"/>
  <c r="I16" i="1"/>
  <c r="H21" i="1"/>
  <c r="H17" i="1"/>
  <c r="H13" i="1"/>
  <c r="H20" i="1"/>
  <c r="H16" i="1"/>
  <c r="H12" i="1"/>
  <c r="H22" i="1"/>
  <c r="H8" i="1"/>
  <c r="G21" i="1"/>
  <c r="G17" i="1"/>
  <c r="G13" i="1"/>
  <c r="G20" i="1"/>
  <c r="G16" i="1"/>
  <c r="G12" i="1"/>
  <c r="C16" i="1"/>
  <c r="G8" i="1"/>
  <c r="F21" i="1"/>
  <c r="F17" i="1"/>
  <c r="F13" i="1"/>
  <c r="F16" i="1"/>
  <c r="F20" i="1"/>
  <c r="F12" i="1"/>
  <c r="F8" i="1"/>
  <c r="E21" i="1"/>
  <c r="E17" i="1"/>
  <c r="E13" i="1"/>
  <c r="E9" i="1"/>
  <c r="E16" i="1"/>
  <c r="E20" i="1"/>
  <c r="E12" i="1"/>
  <c r="E8" i="1"/>
  <c r="D20" i="1"/>
  <c r="D16" i="1"/>
  <c r="D12" i="1"/>
  <c r="D14" i="1" s="1"/>
  <c r="D21" i="1"/>
  <c r="D25" i="1" s="1"/>
  <c r="D17" i="1"/>
  <c r="D13" i="1"/>
  <c r="D9" i="1"/>
  <c r="D8" i="1"/>
  <c r="I8" i="1"/>
  <c r="I12" i="1"/>
  <c r="K24" i="1"/>
  <c r="K25" i="1"/>
  <c r="J24" i="1"/>
  <c r="J25" i="1"/>
  <c r="I25" i="1"/>
  <c r="H25" i="1"/>
  <c r="G25" i="1"/>
  <c r="F9" i="1"/>
  <c r="C8" i="1"/>
  <c r="C12" i="1"/>
  <c r="C9" i="1"/>
  <c r="C25" i="1" s="1"/>
  <c r="C13" i="1"/>
  <c r="C17" i="1"/>
  <c r="C21" i="1"/>
  <c r="K22" i="1"/>
  <c r="J22" i="1"/>
  <c r="F22" i="1"/>
  <c r="E22" i="1"/>
  <c r="K18" i="1"/>
  <c r="J18" i="1"/>
  <c r="I18" i="1"/>
  <c r="G18" i="1"/>
  <c r="F18" i="1"/>
  <c r="K14" i="1"/>
  <c r="J14" i="1"/>
  <c r="I14" i="1"/>
  <c r="F14" i="1"/>
  <c r="E14" i="1"/>
  <c r="K10" i="1"/>
  <c r="J10" i="1"/>
  <c r="I10" i="1"/>
  <c r="H10" i="1"/>
  <c r="G10" i="1"/>
  <c r="F10" i="1"/>
  <c r="E10" i="1"/>
  <c r="D10" i="1"/>
  <c r="G14" i="1" l="1"/>
  <c r="I24" i="1"/>
  <c r="E17" i="2"/>
  <c r="I22" i="1"/>
  <c r="D22" i="1"/>
  <c r="C18" i="2"/>
  <c r="E18" i="2" s="1"/>
  <c r="C26" i="2"/>
  <c r="E26" i="2" s="1"/>
  <c r="K26" i="1"/>
  <c r="J26" i="1"/>
  <c r="I26" i="1"/>
  <c r="H18" i="1"/>
  <c r="H14" i="1"/>
  <c r="H24" i="1"/>
  <c r="H26" i="1" s="1"/>
  <c r="G22" i="1"/>
  <c r="G24" i="1"/>
  <c r="G26" i="1" s="1"/>
  <c r="F25" i="1"/>
  <c r="F24" i="1"/>
  <c r="C20" i="1"/>
  <c r="C22" i="1" s="1"/>
  <c r="E25" i="1"/>
  <c r="C14" i="1"/>
  <c r="E18" i="1"/>
  <c r="E24" i="1"/>
  <c r="C18" i="1"/>
  <c r="D18" i="1"/>
  <c r="D24" i="1"/>
  <c r="D26" i="1" s="1"/>
  <c r="C10" i="1"/>
  <c r="C24" i="1" l="1"/>
  <c r="C26" i="1" s="1"/>
  <c r="F26" i="1"/>
  <c r="E26" i="1"/>
</calcChain>
</file>

<file path=xl/sharedStrings.xml><?xml version="1.0" encoding="utf-8"?>
<sst xmlns="http://schemas.openxmlformats.org/spreadsheetml/2006/main" count="79" uniqueCount="36">
  <si>
    <t>lautakunta</t>
  </si>
  <si>
    <t>palvelut</t>
  </si>
  <si>
    <t>velut</t>
  </si>
  <si>
    <t xml:space="preserve">1. Lasten ja nuorten kasvun </t>
  </si>
  <si>
    <t>tukeminen</t>
  </si>
  <si>
    <t>4. Ikäihmisten elämänlaadun</t>
  </si>
  <si>
    <t>turvaaminen</t>
  </si>
  <si>
    <t>Yhteensä ydinprosesseille</t>
  </si>
  <si>
    <t xml:space="preserve">2. Nuorten aikuisuuden </t>
  </si>
  <si>
    <t>vahvistaminen</t>
  </si>
  <si>
    <t xml:space="preserve">3. Itsenäisesti selviytyvien </t>
  </si>
  <si>
    <t>toimintakyvyn varmistaminen</t>
  </si>
  <si>
    <t>ME</t>
  </si>
  <si>
    <t>TU</t>
  </si>
  <si>
    <t>NE</t>
  </si>
  <si>
    <t>Peruspalvelu-</t>
  </si>
  <si>
    <t>Peruspalvelultk</t>
  </si>
  <si>
    <t>ja hallintopalvelut</t>
  </si>
  <si>
    <t>Sosiaalityön</t>
  </si>
  <si>
    <t xml:space="preserve"> palvelut</t>
  </si>
  <si>
    <t>Perustervey-</t>
  </si>
  <si>
    <t>denh. palvelut</t>
  </si>
  <si>
    <t>Erikoissairaan-</t>
  </si>
  <si>
    <t>hoidon palvelut</t>
  </si>
  <si>
    <t>Kuntoutumis-</t>
  </si>
  <si>
    <t>Vanhuspalvelut</t>
  </si>
  <si>
    <t>Ympäristöter-</t>
  </si>
  <si>
    <t>veydenhuollon</t>
  </si>
  <si>
    <t>Työterveys-</t>
  </si>
  <si>
    <t>huollon pal-</t>
  </si>
  <si>
    <t>pp 06032012</t>
  </si>
  <si>
    <t>TP 2011</t>
  </si>
  <si>
    <t>TA 2011</t>
  </si>
  <si>
    <t>Poikkeama</t>
  </si>
  <si>
    <t>TA/TP 2011</t>
  </si>
  <si>
    <t>TILINPÄÄTÖKSEN 2011 JAKO YDINPROSESSEILLE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</si>
</sst>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quotePrefix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Te/SoTeSuunnittelu/Talouden%20ja%20toiminnan%20suunnittelu%20ja%20seuranta/TA%202011%20jako%20ydinprosesseille/ydinprosessien%20jakotaulukko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Te/Taloushallinto/Talousarvio/Talousarvio%202010/Talousarvion%20seuranta%202010/1-10_2010/Liite%203%20Ennuste%201-10%20ydinprosesseitt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Te/Taloushallinto/Talousarvio/Talousarvio%202010/Talousarvion%20seuranta%202010/1-10_2010/Liite%201%20Ennuste%20Perlaan%201-10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te menot yhteensä"/>
      <sheetName val="virasto"/>
      <sheetName val="Sos"/>
      <sheetName val="pth"/>
      <sheetName val="esh"/>
      <sheetName val="kunt"/>
      <sheetName val="vanh"/>
      <sheetName val="ymppi"/>
      <sheetName val="työterv"/>
      <sheetName val="Taul2"/>
      <sheetName val="Taul3"/>
    </sheetNames>
    <sheetDataSet>
      <sheetData sheetId="0" refreshError="1">
        <row r="6">
          <cell r="B6">
            <v>7987498.1220000004</v>
          </cell>
        </row>
        <row r="41">
          <cell r="B41">
            <v>0</v>
          </cell>
          <cell r="C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tus 2 TA-ennuste"/>
      <sheetName val="Ennuste 2 ydinprosesseittain "/>
      <sheetName val="TA 2010+MKS+SS"/>
      <sheetName val="Joulukuun uusjako"/>
      <sheetName val="Tulosal-mom2010"/>
    </sheetNames>
    <sheetDataSet>
      <sheetData sheetId="0" refreshError="1"/>
      <sheetData sheetId="1" refreshError="1"/>
      <sheetData sheetId="2">
        <row r="43">
          <cell r="G43">
            <v>0</v>
          </cell>
        </row>
        <row r="59">
          <cell r="G59">
            <v>7891510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losalueet "/>
    </sheetNames>
    <sheetDataSet>
      <sheetData sheetId="0">
        <row r="13">
          <cell r="G13">
            <v>9552383.5854954738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zoomScale="90" zoomScaleNormal="90" workbookViewId="0">
      <selection activeCell="A28" sqref="A28"/>
    </sheetView>
  </sheetViews>
  <sheetFormatPr defaultRowHeight="12.75"/>
  <cols>
    <col min="1" max="1" width="28" customWidth="1"/>
    <col min="2" max="2" width="4.42578125" style="11" customWidth="1"/>
    <col min="3" max="3" width="16.42578125" style="11" customWidth="1"/>
    <col min="4" max="4" width="17.140625" style="11" customWidth="1"/>
    <col min="5" max="5" width="13.5703125" style="11" customWidth="1"/>
    <col min="6" max="6" width="13.28515625" style="11" customWidth="1"/>
    <col min="7" max="7" width="14.140625" style="11" customWidth="1"/>
    <col min="8" max="8" width="13.7109375" style="11" customWidth="1"/>
    <col min="9" max="9" width="14.5703125" style="11" customWidth="1"/>
    <col min="10" max="10" width="13.42578125" style="11" customWidth="1"/>
    <col min="11" max="11" width="12.85546875" style="11" customWidth="1"/>
  </cols>
  <sheetData>
    <row r="2" spans="1:11">
      <c r="A2" s="11" t="s">
        <v>30</v>
      </c>
    </row>
    <row r="3" spans="1:11">
      <c r="A3" s="1" t="s">
        <v>35</v>
      </c>
      <c r="B3" s="7"/>
      <c r="C3" s="12"/>
      <c r="D3" s="12"/>
      <c r="E3" s="13"/>
      <c r="F3" s="14"/>
      <c r="G3" s="15"/>
      <c r="H3" s="14"/>
      <c r="I3" s="16"/>
      <c r="J3" s="17"/>
      <c r="K3" s="12"/>
    </row>
    <row r="4" spans="1:11">
      <c r="A4" s="2"/>
      <c r="B4" s="8"/>
      <c r="C4" s="8" t="s">
        <v>15</v>
      </c>
      <c r="D4" s="18" t="s">
        <v>16</v>
      </c>
      <c r="E4" s="18" t="s">
        <v>18</v>
      </c>
      <c r="F4" s="19" t="s">
        <v>20</v>
      </c>
      <c r="G4" s="18" t="s">
        <v>22</v>
      </c>
      <c r="H4" s="19" t="s">
        <v>24</v>
      </c>
      <c r="I4" s="18" t="s">
        <v>25</v>
      </c>
      <c r="J4" s="20" t="s">
        <v>26</v>
      </c>
      <c r="K4" s="8" t="s">
        <v>28</v>
      </c>
    </row>
    <row r="5" spans="1:11">
      <c r="A5" s="2"/>
      <c r="B5" s="8"/>
      <c r="C5" s="8" t="s">
        <v>0</v>
      </c>
      <c r="D5" s="18" t="s">
        <v>17</v>
      </c>
      <c r="E5" s="8" t="s">
        <v>19</v>
      </c>
      <c r="F5" s="21" t="s">
        <v>21</v>
      </c>
      <c r="G5" s="8" t="s">
        <v>23</v>
      </c>
      <c r="H5" s="21" t="s">
        <v>1</v>
      </c>
      <c r="I5" s="8"/>
      <c r="J5" s="21" t="s">
        <v>27</v>
      </c>
      <c r="K5" s="8" t="s">
        <v>29</v>
      </c>
    </row>
    <row r="6" spans="1:11">
      <c r="A6" s="3"/>
      <c r="B6" s="9"/>
      <c r="C6" s="22"/>
      <c r="D6" s="23"/>
      <c r="E6" s="9"/>
      <c r="F6" s="9"/>
      <c r="G6" s="9"/>
      <c r="H6" s="24"/>
      <c r="I6" s="9"/>
      <c r="J6" s="24" t="s">
        <v>1</v>
      </c>
      <c r="K6" s="9" t="s">
        <v>2</v>
      </c>
    </row>
    <row r="7" spans="1:11">
      <c r="A7" s="4"/>
      <c r="B7" s="10"/>
      <c r="C7" s="35"/>
      <c r="D7" s="25"/>
      <c r="E7" s="26"/>
      <c r="F7" s="27"/>
      <c r="G7" s="26"/>
      <c r="H7" s="27"/>
      <c r="I7" s="26"/>
      <c r="J7" s="28"/>
      <c r="K7" s="25"/>
    </row>
    <row r="8" spans="1:11">
      <c r="A8" s="2" t="s">
        <v>3</v>
      </c>
      <c r="B8" s="8" t="s">
        <v>12</v>
      </c>
      <c r="C8" s="33">
        <f>SUM(D8:K8)</f>
        <v>79091837.036968753</v>
      </c>
      <c r="D8" s="29">
        <f>7987496/62893686*63141414</f>
        <v>8018957.4476417871</v>
      </c>
      <c r="E8" s="29">
        <f>33168301/85408476*84906065</f>
        <v>32973190.162596565</v>
      </c>
      <c r="F8" s="29">
        <f>11902547/49027034*51645102</f>
        <v>12538148.929727098</v>
      </c>
      <c r="G8" s="29">
        <f>15740577/187041204*191246946</f>
        <v>16094514.0169641</v>
      </c>
      <c r="H8" s="29">
        <f>7814711/56107898*67971158</f>
        <v>9467026.4800391924</v>
      </c>
      <c r="I8" s="29">
        <f>'[1]Sote menot yhteensä'!$B$41</f>
        <v>0</v>
      </c>
      <c r="J8" s="29"/>
      <c r="K8" s="29"/>
    </row>
    <row r="9" spans="1:11">
      <c r="A9" s="2" t="s">
        <v>4</v>
      </c>
      <c r="B9" s="8" t="s">
        <v>13</v>
      </c>
      <c r="C9" s="33">
        <f>SUM(D9:K9)</f>
        <v>7700753.2170000002</v>
      </c>
      <c r="D9" s="29">
        <f>0.127*4733527</f>
        <v>601157.929</v>
      </c>
      <c r="E9" s="29">
        <f>0.388*18297926</f>
        <v>7099595.2880000006</v>
      </c>
      <c r="F9" s="29">
        <f>'[2]TA 2010+MKS+SS'!G43/'[2]TA 2010+MKS+SS'!G59*'[3]Tulosalueet '!$G13</f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>
      <c r="A10" s="3"/>
      <c r="B10" s="9" t="s">
        <v>14</v>
      </c>
      <c r="C10" s="34">
        <f t="shared" ref="C10:K10" si="0">+C8-C9</f>
        <v>71391083.81996876</v>
      </c>
      <c r="D10" s="30">
        <f t="shared" si="0"/>
        <v>7417799.5186417866</v>
      </c>
      <c r="E10" s="30">
        <f t="shared" si="0"/>
        <v>25873594.874596566</v>
      </c>
      <c r="F10" s="30">
        <f t="shared" si="0"/>
        <v>12538148.929727098</v>
      </c>
      <c r="G10" s="30">
        <f t="shared" si="0"/>
        <v>16094514.0169641</v>
      </c>
      <c r="H10" s="30">
        <f t="shared" si="0"/>
        <v>9467026.4800391924</v>
      </c>
      <c r="I10" s="30">
        <f t="shared" si="0"/>
        <v>0</v>
      </c>
      <c r="J10" s="30">
        <f t="shared" si="0"/>
        <v>0</v>
      </c>
      <c r="K10" s="30">
        <f t="shared" si="0"/>
        <v>0</v>
      </c>
    </row>
    <row r="11" spans="1:11">
      <c r="A11" s="2"/>
      <c r="B11" s="8"/>
      <c r="C11" s="33"/>
      <c r="D11" s="29"/>
      <c r="E11" s="29"/>
      <c r="F11" s="29"/>
      <c r="G11" s="29"/>
      <c r="H11" s="29"/>
      <c r="I11" s="29"/>
      <c r="J11" s="29"/>
      <c r="K11" s="29"/>
    </row>
    <row r="12" spans="1:11">
      <c r="A12" s="2" t="s">
        <v>8</v>
      </c>
      <c r="B12" s="8" t="s">
        <v>12</v>
      </c>
      <c r="C12" s="33">
        <f>SUM(D12:K12)</f>
        <v>42815264.792050377</v>
      </c>
      <c r="D12" s="29">
        <f>4591239/62893686*63141414</f>
        <v>4609323.143692771</v>
      </c>
      <c r="E12" s="29">
        <f>12260010/85408476*84906065</f>
        <v>12187891.117043816</v>
      </c>
      <c r="F12" s="29">
        <f>5704303/49027034*51645102</f>
        <v>6008915.6173287164</v>
      </c>
      <c r="G12" s="29">
        <f>12073904/187041204*191246946</f>
        <v>12345393.511780346</v>
      </c>
      <c r="H12" s="29">
        <f>6326160/56107898*67971158</f>
        <v>7663741.4022047305</v>
      </c>
      <c r="I12" s="29">
        <f>'[1]Sote menot yhteensä'!$C$41</f>
        <v>0</v>
      </c>
      <c r="J12" s="29"/>
      <c r="K12" s="29"/>
    </row>
    <row r="13" spans="1:11">
      <c r="A13" s="2" t="s">
        <v>9</v>
      </c>
      <c r="B13" s="8" t="s">
        <v>13</v>
      </c>
      <c r="C13" s="33">
        <f>SUM(D13:K13)</f>
        <v>5073570.0609999998</v>
      </c>
      <c r="D13" s="29">
        <f>0.073*4733527</f>
        <v>345547.47099999996</v>
      </c>
      <c r="E13" s="29">
        <f>0.144*18297926</f>
        <v>2634901.3439999996</v>
      </c>
      <c r="F13" s="29">
        <f>0.116*10169761</f>
        <v>1179692.2760000001</v>
      </c>
      <c r="G13" s="29">
        <f>0.065*3772787</f>
        <v>245231.155</v>
      </c>
      <c r="H13" s="29">
        <f>0.113*5913255</f>
        <v>668197.81500000006</v>
      </c>
      <c r="I13" s="29">
        <v>0</v>
      </c>
      <c r="J13" s="29">
        <v>0</v>
      </c>
      <c r="K13" s="29">
        <v>0</v>
      </c>
    </row>
    <row r="14" spans="1:11">
      <c r="A14" s="3"/>
      <c r="B14" s="9" t="s">
        <v>14</v>
      </c>
      <c r="C14" s="34">
        <f>+C12-C13</f>
        <v>37741694.73105038</v>
      </c>
      <c r="D14" s="30">
        <f t="shared" ref="D14:K14" si="1">D12-D13</f>
        <v>4263775.6726927711</v>
      </c>
      <c r="E14" s="30">
        <f t="shared" si="1"/>
        <v>9552989.773043815</v>
      </c>
      <c r="F14" s="30">
        <f t="shared" si="1"/>
        <v>4829223.3413287159</v>
      </c>
      <c r="G14" s="30">
        <f t="shared" si="1"/>
        <v>12100162.356780346</v>
      </c>
      <c r="H14" s="30">
        <f t="shared" si="1"/>
        <v>6995543.5872047301</v>
      </c>
      <c r="I14" s="30">
        <f t="shared" si="1"/>
        <v>0</v>
      </c>
      <c r="J14" s="30">
        <f t="shared" si="1"/>
        <v>0</v>
      </c>
      <c r="K14" s="30">
        <f t="shared" si="1"/>
        <v>0</v>
      </c>
    </row>
    <row r="15" spans="1:11">
      <c r="A15" s="2"/>
      <c r="B15" s="8"/>
      <c r="C15" s="33"/>
      <c r="D15" s="29"/>
      <c r="E15" s="29"/>
      <c r="F15" s="29"/>
      <c r="G15" s="29"/>
      <c r="H15" s="29"/>
      <c r="I15" s="29"/>
      <c r="J15" s="29"/>
      <c r="K15" s="29"/>
    </row>
    <row r="16" spans="1:11">
      <c r="A16" s="2" t="s">
        <v>10</v>
      </c>
      <c r="B16" s="8" t="s">
        <v>12</v>
      </c>
      <c r="C16" s="33">
        <f>SUM(D16:K16)</f>
        <v>226172579.66561574</v>
      </c>
      <c r="D16" s="29">
        <f>23459345/62893686*63141414</f>
        <v>23551747.54448054</v>
      </c>
      <c r="E16" s="29">
        <f>38006566/85408476*84906065-1</f>
        <v>37782993.315725647</v>
      </c>
      <c r="F16" s="29">
        <f>20720880/49027034*51645102-1</f>
        <v>21827384.297869742</v>
      </c>
      <c r="G16" s="29">
        <f>85635237/187041204*191246946</f>
        <v>87560800.486700252</v>
      </c>
      <c r="H16" s="29">
        <f>35984533/56107898*67971158</f>
        <v>43592978.266610771</v>
      </c>
      <c r="I16" s="29">
        <f>4265539/146583469*145728401</f>
        <v>4240656.7542288071</v>
      </c>
      <c r="J16" s="29">
        <v>1359640</v>
      </c>
      <c r="K16" s="29">
        <v>6256379</v>
      </c>
    </row>
    <row r="17" spans="1:11">
      <c r="A17" s="2" t="s">
        <v>11</v>
      </c>
      <c r="B17" s="8" t="s">
        <v>13</v>
      </c>
      <c r="C17" s="33">
        <f>SUM(D17:K17)</f>
        <v>30826661.275000002</v>
      </c>
      <c r="D17" s="29">
        <f>0.373*4733527</f>
        <v>1765605.571</v>
      </c>
      <c r="E17" s="29">
        <f>0.445*18297926</f>
        <v>8142577.0700000003</v>
      </c>
      <c r="F17" s="29">
        <f>(0.243+0.423)*10169761</f>
        <v>6773060.8259999994</v>
      </c>
      <c r="G17" s="29">
        <f>(0.084+0.458)*3772787</f>
        <v>2044850.5540000002</v>
      </c>
      <c r="H17" s="29">
        <f>(0.139+0.641)*5913255</f>
        <v>4612338.9000000004</v>
      </c>
      <c r="I17" s="29">
        <f>0.029*35139426</f>
        <v>1019043.3540000001</v>
      </c>
      <c r="J17" s="29">
        <v>463131</v>
      </c>
      <c r="K17" s="29">
        <v>6006054</v>
      </c>
    </row>
    <row r="18" spans="1:11">
      <c r="A18" s="3"/>
      <c r="B18" s="9" t="s">
        <v>14</v>
      </c>
      <c r="C18" s="34">
        <f>+C16-C17</f>
        <v>195345918.39061573</v>
      </c>
      <c r="D18" s="30">
        <f t="shared" ref="D18:K18" si="2">D16-D17</f>
        <v>21786141.973480541</v>
      </c>
      <c r="E18" s="30">
        <f t="shared" si="2"/>
        <v>29640416.245725647</v>
      </c>
      <c r="F18" s="30">
        <f t="shared" si="2"/>
        <v>15054323.471869742</v>
      </c>
      <c r="G18" s="30">
        <f t="shared" si="2"/>
        <v>85515949.932700247</v>
      </c>
      <c r="H18" s="30">
        <f t="shared" si="2"/>
        <v>38980639.366610773</v>
      </c>
      <c r="I18" s="30">
        <f t="shared" si="2"/>
        <v>3221613.4002288068</v>
      </c>
      <c r="J18" s="30">
        <f t="shared" si="2"/>
        <v>896509</v>
      </c>
      <c r="K18" s="30">
        <f t="shared" si="2"/>
        <v>250325</v>
      </c>
    </row>
    <row r="19" spans="1:11">
      <c r="A19" s="2"/>
      <c r="B19" s="8"/>
      <c r="C19" s="33"/>
      <c r="D19" s="29"/>
      <c r="E19" s="29"/>
      <c r="F19" s="29"/>
      <c r="G19" s="29"/>
      <c r="H19" s="29"/>
      <c r="I19" s="29"/>
      <c r="J19" s="29"/>
      <c r="K19" s="29"/>
    </row>
    <row r="20" spans="1:11">
      <c r="A20" s="2" t="s">
        <v>5</v>
      </c>
      <c r="B20" s="8" t="s">
        <v>12</v>
      </c>
      <c r="C20" s="33">
        <f>SUM(D20:K20)</f>
        <v>264175423.5450055</v>
      </c>
      <c r="D20" s="29">
        <f>26855604/62893686*63141414+2</f>
        <v>26961385.856307231</v>
      </c>
      <c r="E20" s="29">
        <f>1973600/85408476*84906065</f>
        <v>1961990.3987515245</v>
      </c>
      <c r="F20" s="29">
        <f>10699305/49027034*51645102</f>
        <v>11270653.208474942</v>
      </c>
      <c r="G20" s="29">
        <f>73591486/187041204*191246946</f>
        <v>75246237.984555289</v>
      </c>
      <c r="H20" s="29">
        <f>5982494/56107898*67971158</f>
        <v>7247411.8511453066</v>
      </c>
      <c r="I20" s="29">
        <f>142317930/146583469*145728401</f>
        <v>141487744.2457712</v>
      </c>
      <c r="J20" s="29"/>
      <c r="K20" s="29"/>
    </row>
    <row r="21" spans="1:11">
      <c r="A21" s="2" t="s">
        <v>6</v>
      </c>
      <c r="B21" s="8" t="s">
        <v>13</v>
      </c>
      <c r="C21" s="33">
        <f>SUM(D21:K21)</f>
        <v>40894882.446999997</v>
      </c>
      <c r="D21" s="29">
        <f>0.427*4733527</f>
        <v>2021216.0289999999</v>
      </c>
      <c r="E21" s="29">
        <f>0.023*18297926</f>
        <v>420852.29800000001</v>
      </c>
      <c r="F21" s="29">
        <f>0.218*10169761</f>
        <v>2217007.898</v>
      </c>
      <c r="G21" s="29">
        <f>0.393*3772787</f>
        <v>1482705.291</v>
      </c>
      <c r="H21" s="29">
        <f>0.107*5913255</f>
        <v>632718.28500000003</v>
      </c>
      <c r="I21" s="29">
        <f>0.971*35139426</f>
        <v>34120382.645999998</v>
      </c>
      <c r="J21" s="29">
        <v>0</v>
      </c>
      <c r="K21" s="29">
        <v>0</v>
      </c>
    </row>
    <row r="22" spans="1:11">
      <c r="A22" s="3"/>
      <c r="B22" s="9" t="s">
        <v>14</v>
      </c>
      <c r="C22" s="34">
        <f>+C20-C21</f>
        <v>223280541.0980055</v>
      </c>
      <c r="D22" s="30">
        <f t="shared" ref="D22:K22" si="3">D20-D21</f>
        <v>24940169.827307232</v>
      </c>
      <c r="E22" s="30">
        <f t="shared" si="3"/>
        <v>1541138.1007515246</v>
      </c>
      <c r="F22" s="30">
        <f t="shared" si="3"/>
        <v>9053645.3104749415</v>
      </c>
      <c r="G22" s="30">
        <f t="shared" si="3"/>
        <v>73763532.693555295</v>
      </c>
      <c r="H22" s="30">
        <f t="shared" si="3"/>
        <v>6614693.5661453065</v>
      </c>
      <c r="I22" s="30">
        <f t="shared" si="3"/>
        <v>107367361.5997712</v>
      </c>
      <c r="J22" s="30">
        <f t="shared" si="3"/>
        <v>0</v>
      </c>
      <c r="K22" s="30">
        <f t="shared" si="3"/>
        <v>0</v>
      </c>
    </row>
    <row r="23" spans="1:11">
      <c r="A23" s="2"/>
      <c r="B23" s="8"/>
      <c r="C23" s="33"/>
      <c r="D23" s="31"/>
      <c r="E23" s="31"/>
      <c r="F23" s="31"/>
      <c r="G23" s="31"/>
      <c r="H23" s="31"/>
      <c r="I23" s="31"/>
      <c r="J23" s="31"/>
      <c r="K23" s="32"/>
    </row>
    <row r="24" spans="1:11">
      <c r="A24" s="2" t="s">
        <v>7</v>
      </c>
      <c r="B24" s="8" t="s">
        <v>12</v>
      </c>
      <c r="C24" s="33">
        <f>+C8+C12+C16+C20</f>
        <v>612255105.03964043</v>
      </c>
      <c r="D24" s="33">
        <f t="shared" ref="D24:K24" si="4">+D8+D12+D16+D20</f>
        <v>63141413.99212233</v>
      </c>
      <c r="E24" s="33">
        <f t="shared" si="4"/>
        <v>84906064.994117558</v>
      </c>
      <c r="F24" s="33">
        <f t="shared" si="4"/>
        <v>51645102.053400494</v>
      </c>
      <c r="G24" s="33">
        <f t="shared" si="4"/>
        <v>191246946</v>
      </c>
      <c r="H24" s="33">
        <f t="shared" si="4"/>
        <v>67971158</v>
      </c>
      <c r="I24" s="33">
        <f t="shared" si="4"/>
        <v>145728401</v>
      </c>
      <c r="J24" s="33">
        <f t="shared" si="4"/>
        <v>1359640</v>
      </c>
      <c r="K24" s="33">
        <f t="shared" si="4"/>
        <v>6256379</v>
      </c>
    </row>
    <row r="25" spans="1:11">
      <c r="A25" s="5"/>
      <c r="B25" s="8" t="s">
        <v>13</v>
      </c>
      <c r="C25" s="33">
        <f>+C9+C13+C17+C21+1</f>
        <v>84495868</v>
      </c>
      <c r="D25" s="33">
        <f t="shared" ref="D25:K25" si="5">+D9+D13+D17+D21</f>
        <v>4733527</v>
      </c>
      <c r="E25" s="33">
        <f t="shared" si="5"/>
        <v>18297926</v>
      </c>
      <c r="F25" s="33">
        <f t="shared" si="5"/>
        <v>10169761</v>
      </c>
      <c r="G25" s="33">
        <f t="shared" si="5"/>
        <v>3772787</v>
      </c>
      <c r="H25" s="33">
        <f t="shared" si="5"/>
        <v>5913255.0000000009</v>
      </c>
      <c r="I25" s="33">
        <f t="shared" si="5"/>
        <v>35139426</v>
      </c>
      <c r="J25" s="33">
        <f t="shared" si="5"/>
        <v>463131</v>
      </c>
      <c r="K25" s="33">
        <f t="shared" si="5"/>
        <v>6006054</v>
      </c>
    </row>
    <row r="26" spans="1:11">
      <c r="A26" s="6"/>
      <c r="B26" s="9" t="s">
        <v>14</v>
      </c>
      <c r="C26" s="34">
        <f>+C24-C25-1</f>
        <v>527759236.03964043</v>
      </c>
      <c r="D26" s="34">
        <f t="shared" ref="D26:K26" si="6">+D24-D25</f>
        <v>58407886.99212233</v>
      </c>
      <c r="E26" s="34">
        <f t="shared" si="6"/>
        <v>66608138.994117558</v>
      </c>
      <c r="F26" s="34">
        <f t="shared" si="6"/>
        <v>41475341.053400494</v>
      </c>
      <c r="G26" s="34">
        <f t="shared" si="6"/>
        <v>187474159</v>
      </c>
      <c r="H26" s="34">
        <f t="shared" si="6"/>
        <v>62057903</v>
      </c>
      <c r="I26" s="34">
        <f t="shared" si="6"/>
        <v>110588975</v>
      </c>
      <c r="J26" s="34">
        <f t="shared" si="6"/>
        <v>896509</v>
      </c>
      <c r="K26" s="34">
        <f t="shared" si="6"/>
        <v>250325</v>
      </c>
    </row>
  </sheetData>
  <phoneticPr fontId="6" type="noConversion"/>
  <pageMargins left="0.75" right="0.75" top="1" bottom="1" header="0.4921259845" footer="0.4921259845"/>
  <pageSetup paperSize="9" scale="81" orientation="landscape" r:id="rId1"/>
  <headerFooter alignWithMargins="0">
    <oddHeader>&amp;C&amp;"Arial,Lihavoitu"&amp;14Peruspalvelulautakunnan tilinpäätös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A3" sqref="A3"/>
    </sheetView>
  </sheetViews>
  <sheetFormatPr defaultRowHeight="12.75"/>
  <cols>
    <col min="1" max="1" width="28" customWidth="1"/>
    <col min="2" max="2" width="4.42578125" customWidth="1"/>
    <col min="3" max="5" width="13.7109375" customWidth="1"/>
  </cols>
  <sheetData>
    <row r="1" spans="1:5">
      <c r="B1" s="11"/>
      <c r="C1" s="11"/>
      <c r="D1" s="11"/>
    </row>
    <row r="2" spans="1:5">
      <c r="A2" s="11" t="s">
        <v>30</v>
      </c>
      <c r="B2" s="11"/>
      <c r="C2" s="11"/>
      <c r="D2" s="11"/>
    </row>
    <row r="3" spans="1:5">
      <c r="A3" s="1" t="s">
        <v>35</v>
      </c>
      <c r="B3" s="7"/>
      <c r="C3" s="7"/>
      <c r="D3" s="12"/>
      <c r="E3" s="36"/>
    </row>
    <row r="4" spans="1:5">
      <c r="A4" s="2"/>
      <c r="B4" s="8"/>
      <c r="C4" s="8" t="s">
        <v>15</v>
      </c>
      <c r="D4" s="8" t="s">
        <v>15</v>
      </c>
      <c r="E4" s="39" t="s">
        <v>33</v>
      </c>
    </row>
    <row r="5" spans="1:5">
      <c r="A5" s="2"/>
      <c r="B5" s="8"/>
      <c r="C5" s="8" t="s">
        <v>0</v>
      </c>
      <c r="D5" s="8" t="s">
        <v>0</v>
      </c>
      <c r="E5" s="39" t="s">
        <v>34</v>
      </c>
    </row>
    <row r="6" spans="1:5">
      <c r="A6" s="3"/>
      <c r="B6" s="9"/>
      <c r="C6" s="9" t="s">
        <v>32</v>
      </c>
      <c r="D6" s="9" t="s">
        <v>31</v>
      </c>
      <c r="E6" s="38"/>
    </row>
    <row r="7" spans="1:5">
      <c r="A7" s="4"/>
      <c r="B7" s="10"/>
      <c r="C7" s="10"/>
      <c r="D7" s="35"/>
      <c r="E7" s="37"/>
    </row>
    <row r="8" spans="1:5">
      <c r="A8" s="2" t="s">
        <v>3</v>
      </c>
      <c r="B8" s="8" t="s">
        <v>12</v>
      </c>
      <c r="C8" s="33">
        <v>76613633</v>
      </c>
      <c r="D8" s="33">
        <v>79091837.036968753</v>
      </c>
      <c r="E8" s="40">
        <f>C8-D8</f>
        <v>-2478204.0369687527</v>
      </c>
    </row>
    <row r="9" spans="1:5">
      <c r="A9" s="2" t="s">
        <v>4</v>
      </c>
      <c r="B9" s="8" t="s">
        <v>13</v>
      </c>
      <c r="C9" s="33">
        <v>7988869</v>
      </c>
      <c r="D9" s="33">
        <v>7700753.2170000002</v>
      </c>
      <c r="E9" s="40">
        <f>D9-C9</f>
        <v>-288115.78299999982</v>
      </c>
    </row>
    <row r="10" spans="1:5">
      <c r="A10" s="3"/>
      <c r="B10" s="9" t="s">
        <v>14</v>
      </c>
      <c r="C10" s="34">
        <f>C8-C9</f>
        <v>68624764</v>
      </c>
      <c r="D10" s="34">
        <v>71391083.81996876</v>
      </c>
      <c r="E10" s="41">
        <f t="shared" ref="E10:E26" si="0">C10-D10</f>
        <v>-2766319.81996876</v>
      </c>
    </row>
    <row r="11" spans="1:5">
      <c r="A11" s="2"/>
      <c r="B11" s="8"/>
      <c r="C11" s="33"/>
      <c r="D11" s="33"/>
      <c r="E11" s="40"/>
    </row>
    <row r="12" spans="1:5">
      <c r="A12" s="2" t="s">
        <v>8</v>
      </c>
      <c r="B12" s="8" t="s">
        <v>12</v>
      </c>
      <c r="C12" s="33">
        <v>40955617</v>
      </c>
      <c r="D12" s="33">
        <v>42815264.792050377</v>
      </c>
      <c r="E12" s="40">
        <f t="shared" si="0"/>
        <v>-1859647.7920503765</v>
      </c>
    </row>
    <row r="13" spans="1:5">
      <c r="A13" s="2" t="s">
        <v>9</v>
      </c>
      <c r="B13" s="8" t="s">
        <v>13</v>
      </c>
      <c r="C13" s="33">
        <v>4638311</v>
      </c>
      <c r="D13" s="33">
        <v>5073570.0609999998</v>
      </c>
      <c r="E13" s="40">
        <f>D13-C13</f>
        <v>435259.06099999975</v>
      </c>
    </row>
    <row r="14" spans="1:5">
      <c r="A14" s="3"/>
      <c r="B14" s="9" t="s">
        <v>14</v>
      </c>
      <c r="C14" s="34">
        <f>C12-C13</f>
        <v>36317306</v>
      </c>
      <c r="D14" s="34">
        <v>37741694.73105038</v>
      </c>
      <c r="E14" s="41">
        <f t="shared" si="0"/>
        <v>-1424388.7310503796</v>
      </c>
    </row>
    <row r="15" spans="1:5">
      <c r="A15" s="2"/>
      <c r="B15" s="8"/>
      <c r="C15" s="33"/>
      <c r="D15" s="33"/>
      <c r="E15" s="40"/>
    </row>
    <row r="16" spans="1:5">
      <c r="A16" s="2" t="s">
        <v>10</v>
      </c>
      <c r="B16" s="8" t="s">
        <v>12</v>
      </c>
      <c r="C16" s="33">
        <f>215889803+6618130+227903</f>
        <v>222735836</v>
      </c>
      <c r="D16" s="33">
        <v>226172579.66561574</v>
      </c>
      <c r="E16" s="40">
        <f t="shared" si="0"/>
        <v>-3436743.6656157374</v>
      </c>
    </row>
    <row r="17" spans="1:5">
      <c r="A17" s="2" t="s">
        <v>11</v>
      </c>
      <c r="B17" s="8" t="s">
        <v>13</v>
      </c>
      <c r="C17" s="33">
        <f>27695459+1864000-161</f>
        <v>29559298</v>
      </c>
      <c r="D17" s="33">
        <v>30826661.275000002</v>
      </c>
      <c r="E17" s="40">
        <f>D17-C17</f>
        <v>1267363.2750000022</v>
      </c>
    </row>
    <row r="18" spans="1:5">
      <c r="A18" s="3"/>
      <c r="B18" s="9" t="s">
        <v>14</v>
      </c>
      <c r="C18" s="34">
        <f>C16-C17</f>
        <v>193176538</v>
      </c>
      <c r="D18" s="34">
        <v>195345918.39061573</v>
      </c>
      <c r="E18" s="41">
        <f t="shared" si="0"/>
        <v>-2169380.3906157315</v>
      </c>
    </row>
    <row r="19" spans="1:5">
      <c r="A19" s="2"/>
      <c r="B19" s="8"/>
      <c r="C19" s="33"/>
      <c r="D19" s="33"/>
      <c r="E19" s="40"/>
    </row>
    <row r="20" spans="1:5">
      <c r="A20" s="2" t="s">
        <v>5</v>
      </c>
      <c r="B20" s="8" t="s">
        <v>12</v>
      </c>
      <c r="C20" s="33">
        <v>261420418</v>
      </c>
      <c r="D20" s="33">
        <v>264175423.5450055</v>
      </c>
      <c r="E20" s="40">
        <f t="shared" si="0"/>
        <v>-2755005.5450055003</v>
      </c>
    </row>
    <row r="21" spans="1:5">
      <c r="A21" s="2" t="s">
        <v>6</v>
      </c>
      <c r="B21" s="8" t="s">
        <v>13</v>
      </c>
      <c r="C21" s="33">
        <v>39487542</v>
      </c>
      <c r="D21" s="33">
        <v>40894882.446999997</v>
      </c>
      <c r="E21" s="40">
        <f>D21-C21</f>
        <v>1407340.4469999969</v>
      </c>
    </row>
    <row r="22" spans="1:5">
      <c r="A22" s="3"/>
      <c r="B22" s="9" t="s">
        <v>14</v>
      </c>
      <c r="C22" s="34">
        <f>C20-C21</f>
        <v>221932876</v>
      </c>
      <c r="D22" s="34">
        <v>223280541.0980055</v>
      </c>
      <c r="E22" s="41">
        <f t="shared" si="0"/>
        <v>-1347665.0980055034</v>
      </c>
    </row>
    <row r="23" spans="1:5">
      <c r="A23" s="2"/>
      <c r="B23" s="8"/>
      <c r="C23" s="33"/>
      <c r="D23" s="33"/>
      <c r="E23" s="40"/>
    </row>
    <row r="24" spans="1:5">
      <c r="A24" s="2" t="s">
        <v>7</v>
      </c>
      <c r="B24" s="8" t="s">
        <v>12</v>
      </c>
      <c r="C24" s="33">
        <f>C8+C12+C16+C20</f>
        <v>601725504</v>
      </c>
      <c r="D24" s="33">
        <v>612255105.03964043</v>
      </c>
      <c r="E24" s="40">
        <f t="shared" si="0"/>
        <v>-10529601.039640427</v>
      </c>
    </row>
    <row r="25" spans="1:5">
      <c r="A25" s="5"/>
      <c r="B25" s="8" t="s">
        <v>13</v>
      </c>
      <c r="C25" s="33">
        <f>C9+C13+C17+C21</f>
        <v>81674020</v>
      </c>
      <c r="D25" s="33">
        <v>84495868</v>
      </c>
      <c r="E25" s="40">
        <f>D25-C25</f>
        <v>2821848</v>
      </c>
    </row>
    <row r="26" spans="1:5">
      <c r="A26" s="6"/>
      <c r="B26" s="9" t="s">
        <v>14</v>
      </c>
      <c r="C26" s="34">
        <f>C24-C25</f>
        <v>520051484</v>
      </c>
      <c r="D26" s="34">
        <v>527759236.03964043</v>
      </c>
      <c r="E26" s="41">
        <f t="shared" si="0"/>
        <v>-7707752.0396404266</v>
      </c>
    </row>
  </sheetData>
  <pageMargins left="0.7" right="0.7" top="0.75" bottom="0.75" header="0.3" footer="0.3"/>
  <pageSetup paperSize="9" orientation="landscape" r:id="rId1"/>
  <headerFooter>
    <oddHeader>&amp;C&amp;"Arial,Lihavoitu"&amp;14Peruspalvelulautakunnan tilinpäätös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TP 2011</vt:lpstr>
      <vt:lpstr>TA 2011 vs TP 2011</vt:lpstr>
    </vt:vector>
  </TitlesOfParts>
  <Company>Turun Kaupungin Terveystoimi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ppaatone</dc:creator>
  <cp:lastModifiedBy>Heinonen Seija</cp:lastModifiedBy>
  <cp:lastPrinted>2012-03-06T09:44:55Z</cp:lastPrinted>
  <dcterms:created xsi:type="dcterms:W3CDTF">2010-12-09T13:04:46Z</dcterms:created>
  <dcterms:modified xsi:type="dcterms:W3CDTF">2012-03-07T12:47:26Z</dcterms:modified>
</cp:coreProperties>
</file>